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040" windowHeight="8616" activeTab="0"/>
  </bookViews>
  <sheets>
    <sheet name="Pbssp 2020" sheetId="1" r:id="rId1"/>
  </sheets>
  <definedNames>
    <definedName name="__xlnm__FilterDatabase" localSheetId="0">'Pbssp 2020'!$A$7:$J$271</definedName>
    <definedName name="__xlnm_Print_Area" localSheetId="0">'Pbssp 2020'!$A:$J</definedName>
    <definedName name="_xlnm._FilterDatabase" localSheetId="0" hidden="1">'Pbssp 2020'!$A$7:$J$271</definedName>
    <definedName name="_GoBack" localSheetId="0">NA()</definedName>
  </definedNames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<sst xmlns="http://schemas.openxmlformats.org/spreadsheetml/2006/main" count="1140" uniqueCount="672">
  <si>
    <t>Załącznik nr 1</t>
  </si>
  <si>
    <t>Planowane koszty bezpośrednie badań statystycznych ujętych w  "Programie badań statystycznych statystyki publicznej na rok 2020"</t>
  </si>
  <si>
    <t>Podział kosztów wg źródeł finansowania</t>
  </si>
  <si>
    <t>Lp.</t>
  </si>
  <si>
    <t>Symbol badania</t>
  </si>
  <si>
    <t>Temat badania</t>
  </si>
  <si>
    <t>Rodzaj badania</t>
  </si>
  <si>
    <t>Prowadzący badanie</t>
  </si>
  <si>
    <t>Koszty bezpośrednie badań ujętych w PBSSP'2020</t>
  </si>
  <si>
    <t>Koszty badań finansowane z budżetu:</t>
  </si>
  <si>
    <t>GUS</t>
  </si>
  <si>
    <t>naczelnych i centralnych organów administracji rządowej  oraz pozostałych jednostek sektora i spoza sektora finansów publicznych</t>
  </si>
  <si>
    <t>państwa</t>
  </si>
  <si>
    <t>pozostałych jednostek:</t>
  </si>
  <si>
    <t>należących do sektora finansów publicznych</t>
  </si>
  <si>
    <t>nienależących do sektora finansów publicznych</t>
  </si>
  <si>
    <t>1.01.01</t>
  </si>
  <si>
    <t>Warunki naturalne (geografia, hydrografia, meteorologia)</t>
  </si>
  <si>
    <t>Badanie stałe</t>
  </si>
  <si>
    <t>1.01.02</t>
  </si>
  <si>
    <t>Zasoby i zmiany w wykorzystaniu powierzchni ziemi, zagrożenie i ochrona gruntów</t>
  </si>
  <si>
    <t>GUS, MRiRW, MŚ, GIOŚ</t>
  </si>
  <si>
    <t xml:space="preserve"> 2 880 zł – budżet MRiRW</t>
  </si>
  <si>
    <t>1.01.04</t>
  </si>
  <si>
    <t>Zasoby, zmiany i wykorzystanie surowców mineralnych (kopalin)</t>
  </si>
  <si>
    <t>MŚ, GUS</t>
  </si>
  <si>
    <t>1 049 644 zł – budżet NFOŚiGW</t>
  </si>
  <si>
    <t>1.01.05</t>
  </si>
  <si>
    <t>Zasoby, wykorzystanie, zanieczyszczenie i ochrona wód</t>
  </si>
  <si>
    <t>GUS, MŚ, GIOŚ</t>
  </si>
  <si>
    <t>1 200 zł - budżet GIOŚ</t>
  </si>
  <si>
    <t>1.01.06</t>
  </si>
  <si>
    <t>Zanieczyszczenie i ochrona powietrza</t>
  </si>
  <si>
    <t>1 476 310 zł - budżet GIOŚ</t>
  </si>
  <si>
    <t>1.01.07</t>
  </si>
  <si>
    <t>Ochrona przyrody, krajobrazu i różnorodności biologicznej</t>
  </si>
  <si>
    <t>GUS, MŚ, GIOŚ, GDOŚ</t>
  </si>
  <si>
    <t>1.01.08</t>
  </si>
  <si>
    <t>Odpady</t>
  </si>
  <si>
    <t>6 449 zł - budżet GIOŚ</t>
  </si>
  <si>
    <t>1.01.09</t>
  </si>
  <si>
    <t>Promieniowanie jonizujące i niejonizujące. Hałas</t>
  </si>
  <si>
    <t>MŚ, GIOŚ, GUS</t>
  </si>
  <si>
    <t>800 zł - budżet GIOŚ</t>
  </si>
  <si>
    <t>1.01.12</t>
  </si>
  <si>
    <t>Ekonomiczne aspekty ochrony środowiska</t>
  </si>
  <si>
    <t>GUS, MŚ, MRiRW, GIOŚ</t>
  </si>
  <si>
    <t>81 500 zł – budżet NFOŚiGW                         5 760 zł – budżet MRiRW                                        165 104 zł - budżet GIOŚ</t>
  </si>
  <si>
    <t>1.01.14</t>
  </si>
  <si>
    <t>Ogólnogospodarcze rachunki przepływów materialnych</t>
  </si>
  <si>
    <t>1.01.16</t>
  </si>
  <si>
    <t>Rachunki emisji do powietrza</t>
  </si>
  <si>
    <t>1.01.17</t>
  </si>
  <si>
    <t>Podatki związane ze środowiskiem</t>
  </si>
  <si>
    <t>1.01.18</t>
  </si>
  <si>
    <t>Zielona gospodarka w Polsce</t>
  </si>
  <si>
    <t>Badanie cykliczne</t>
  </si>
  <si>
    <t>1.02.01</t>
  </si>
  <si>
    <t>Organy państwa</t>
  </si>
  <si>
    <t>1.02.02</t>
  </si>
  <si>
    <t>Samorząd terytorialny</t>
  </si>
  <si>
    <t>1.02.03</t>
  </si>
  <si>
    <t>Grunty komunalne</t>
  </si>
  <si>
    <t>1.02.04</t>
  </si>
  <si>
    <t>Lokalne planowanie i zagospodarowanie przestrzenne</t>
  </si>
  <si>
    <t>MIiR</t>
  </si>
  <si>
    <t>252 697 zł - budżet MIiR</t>
  </si>
  <si>
    <t>1.02.05</t>
  </si>
  <si>
    <t>Prace geodezyjne i kartograficzne</t>
  </si>
  <si>
    <t>GUGiK</t>
  </si>
  <si>
    <t>18 000 zł - budżet GUGiK</t>
  </si>
  <si>
    <t>1.03.01</t>
  </si>
  <si>
    <t>Sprawy rozpatrywane w wymiarze sprawiedliwości</t>
  </si>
  <si>
    <t>MS, PK</t>
  </si>
  <si>
    <t>231 208 zł - budżet MS                        363 020 zł - budżet PK</t>
  </si>
  <si>
    <t>1.03.02</t>
  </si>
  <si>
    <t>Orzeczenia sądów pierwszej instancji i prawomocne osądzenia osób pełnoletnich w sprawach karnych i wykroczeniowych, orzeczenia w sprawach nieletnich oraz o podmiotach zbiorowych</t>
  </si>
  <si>
    <t>MS</t>
  </si>
  <si>
    <t>91 562 zł - budżet MS</t>
  </si>
  <si>
    <t>1.03.03</t>
  </si>
  <si>
    <t>Przestępczość. Wymiar sprawiedliwości</t>
  </si>
  <si>
    <t>MS, PK, GUS</t>
  </si>
  <si>
    <t>46 187 zł - budżet MS                         3 000 zł - budżet PK</t>
  </si>
  <si>
    <t>1.03.04</t>
  </si>
  <si>
    <t>Wykonywanie orzeczeń sądowych przez zakłady karne, sądy i zakłady dla nieletnich; areszty śledcze</t>
  </si>
  <si>
    <t>46 458 zł - budżet MS</t>
  </si>
  <si>
    <t>1.03.05</t>
  </si>
  <si>
    <t>Zatrudnienie i wynagrodzenia pracowników wymiaru sprawiedliwości</t>
  </si>
  <si>
    <t>46 458 zł - budżet MS                        12 300 zł - budżet PK</t>
  </si>
  <si>
    <t>1.03.06</t>
  </si>
  <si>
    <t>Działalność służb ratowniczych</t>
  </si>
  <si>
    <t>GUS, MSWiA</t>
  </si>
  <si>
    <t>4 500 zł - budżet MSWiA</t>
  </si>
  <si>
    <t>1.04.01</t>
  </si>
  <si>
    <t>Stowarzyszenia, fundacje, samorząd gospodarczy i zawodowy oraz społeczne jednostki wyznaniowe</t>
  </si>
  <si>
    <t>GUS, MRPiPS</t>
  </si>
  <si>
    <t>1.04.04</t>
  </si>
  <si>
    <t>Kapitał Ludzki</t>
  </si>
  <si>
    <t>1.04.06</t>
  </si>
  <si>
    <t>Partie polityczne</t>
  </si>
  <si>
    <t>1.04.07</t>
  </si>
  <si>
    <t>Jednostki reintegracji społeczno-zawodowej: centra integracji społecznej, kluby integracji społecznej, warsztaty terapii zajęciowej, zakłady aktywności zawodowej</t>
  </si>
  <si>
    <t>1.20.01</t>
  </si>
  <si>
    <t>Rodziny w Polsce</t>
  </si>
  <si>
    <t>1.20.03</t>
  </si>
  <si>
    <t>Świadczenia na rzecz rodziny</t>
  </si>
  <si>
    <t>1.20.04</t>
  </si>
  <si>
    <t>Wspieranie rodziny i system pieczy zastępczej</t>
  </si>
  <si>
    <t>216 720 zł - budżet MRPiPS</t>
  </si>
  <si>
    <t>1.20.05</t>
  </si>
  <si>
    <t>Żłobki i kluby dziecięce</t>
  </si>
  <si>
    <t>1.20.06</t>
  </si>
  <si>
    <t>Świadczenie wychowawcze, dodatek wychowawczy i dodatek do zryczałtowanej kwoty</t>
  </si>
  <si>
    <t>111 503 zł - budżet MRPiPS</t>
  </si>
  <si>
    <t>1.21.01</t>
  </si>
  <si>
    <t>Urodzenia. Dzietność</t>
  </si>
  <si>
    <t>1.21.02</t>
  </si>
  <si>
    <t>Małżeństwa. Rozwody. Separacje</t>
  </si>
  <si>
    <t>1.21.03</t>
  </si>
  <si>
    <t>Migracje wewnętrzne ludności</t>
  </si>
  <si>
    <t>1.21.04</t>
  </si>
  <si>
    <t>Migracje zagraniczne ludności</t>
  </si>
  <si>
    <t>1.21.07</t>
  </si>
  <si>
    <t>Bilanse stanu i struktury ludności według cech demograficznych</t>
  </si>
  <si>
    <t>1.21.09</t>
  </si>
  <si>
    <t>Zgony. Umieralność. Trwanie życia</t>
  </si>
  <si>
    <t>GUS, MZ</t>
  </si>
  <si>
    <t>7 113 zł - budżet MZ</t>
  </si>
  <si>
    <t>1.21.10</t>
  </si>
  <si>
    <t>Charakterystyka społeczno-demograficzna i ekonomiczna ludności i gospodarstw domowych</t>
  </si>
  <si>
    <t>1.21.11</t>
  </si>
  <si>
    <t>Prognozy demograficzne</t>
  </si>
  <si>
    <t>1.21.12</t>
  </si>
  <si>
    <t>Narodowy spis powszechny ludności i mieszkań 2021 r. - prace przygotowawcze</t>
  </si>
  <si>
    <t>Badanie cykliczne, ostatnio w 2019</t>
  </si>
  <si>
    <t>1.21.14</t>
  </si>
  <si>
    <t>Zasoby migracyjne</t>
  </si>
  <si>
    <t>1.21.15</t>
  </si>
  <si>
    <t>Polacy i Polonia na świecie</t>
  </si>
  <si>
    <t>1.22.01</t>
  </si>
  <si>
    <t>Wyznania religijne w Polsce</t>
  </si>
  <si>
    <t>1.22.07</t>
  </si>
  <si>
    <t>Statystyka obrządków Kościoła katolickiego w Polsce</t>
  </si>
  <si>
    <t>1.23.01</t>
  </si>
  <si>
    <t>Badanie aktywności ekonomicznej ludności (BAEL)</t>
  </si>
  <si>
    <t>1.23.02</t>
  </si>
  <si>
    <t>Pracujący w gospodarce narodowej</t>
  </si>
  <si>
    <t>1.23.04</t>
  </si>
  <si>
    <t>Zatrudnienie, wydatki na wynagrodzenia w państwowej sferze budżetowej</t>
  </si>
  <si>
    <t>MF, GUS</t>
  </si>
  <si>
    <t>1.23.06</t>
  </si>
  <si>
    <t>Bezrobotni i poszukujący pracy zarejestrowani w urzędach pracy</t>
  </si>
  <si>
    <t>MRPiPS, GUS</t>
  </si>
  <si>
    <t>232 550 zł - MRPiPS                            250 000 zł - PFRON</t>
  </si>
  <si>
    <t>1.23.07</t>
  </si>
  <si>
    <t>Popyt na pracę</t>
  </si>
  <si>
    <t>1.23.09</t>
  </si>
  <si>
    <t>Warunki pracy</t>
  </si>
  <si>
    <t>1.23.10</t>
  </si>
  <si>
    <t>Wypadki przy pracy</t>
  </si>
  <si>
    <t>1.23.11</t>
  </si>
  <si>
    <t>Strajki. Spory zbiorowe. Zakładowe układy zbiorowe pracy</t>
  </si>
  <si>
    <t>1.23.13</t>
  </si>
  <si>
    <t>Czas pracy</t>
  </si>
  <si>
    <t>1.23.15</t>
  </si>
  <si>
    <t>Zezwolenia na pracę cudzoziemców w RP</t>
  </si>
  <si>
    <t>55 940 zł - MRPiPS</t>
  </si>
  <si>
    <t>1.23.22</t>
  </si>
  <si>
    <t>Wypadki przy pracy i problemy zdrowotne związane z pracą</t>
  </si>
  <si>
    <t>1.23.26</t>
  </si>
  <si>
    <t>Osoby powyżej 50. roku życia na rynku pracy</t>
  </si>
  <si>
    <t>1.24.01</t>
  </si>
  <si>
    <t>Wynagrodzenia w gospodarce narodowej</t>
  </si>
  <si>
    <t>1.24.02</t>
  </si>
  <si>
    <t>Struktura wynagrodzeń</t>
  </si>
  <si>
    <t>1.24.03</t>
  </si>
  <si>
    <t>Świadczenia z ubezpieczeń społecznych i pozaubezpieczeniowe</t>
  </si>
  <si>
    <t>1.24.04</t>
  </si>
  <si>
    <t>Koszty pracy i indeks kosztów zatrudnienia</t>
  </si>
  <si>
    <t>1.24.05</t>
  </si>
  <si>
    <t>Zatrudnienie i wynagrodzenia w administracji publicznej</t>
  </si>
  <si>
    <t>Badanie cykliczne co 2 lata ostatnio w 2018</t>
  </si>
  <si>
    <t>Szef Służby Cywilnej (KPRM)</t>
  </si>
  <si>
    <t>160 000 zł - budżet KPRM</t>
  </si>
  <si>
    <t>1.24.10</t>
  </si>
  <si>
    <t>Badanie kosztów pracy</t>
  </si>
  <si>
    <t>1.25.01</t>
  </si>
  <si>
    <t>Budżety gospodarstw domowych</t>
  </si>
  <si>
    <t>1.25.02</t>
  </si>
  <si>
    <t>Kondycja gospodarstw domowych (postawy konsumentów)</t>
  </si>
  <si>
    <t>1.25.07</t>
  </si>
  <si>
    <t>Pomoc społeczna</t>
  </si>
  <si>
    <t>3 771 397 zł - budżet MRPiPS</t>
  </si>
  <si>
    <t>1.25.08</t>
  </si>
  <si>
    <t>Europejskie badanie warunków życia ludności (EU-SILC)</t>
  </si>
  <si>
    <t>1.25.09</t>
  </si>
  <si>
    <t>Procesy inflacyjne a oszczędzanie i konsumpcja w gospodarstwach domowych</t>
  </si>
  <si>
    <t>NBP</t>
  </si>
  <si>
    <t>48 000 zł - budżet NBP</t>
  </si>
  <si>
    <t>1.25.11</t>
  </si>
  <si>
    <t>Beneficjenci środowiskowej pomocy społecznej</t>
  </si>
  <si>
    <t>1.25.12</t>
  </si>
  <si>
    <t>Zjawisko ubóstwa oraz procesy wykluczenia społecznego</t>
  </si>
  <si>
    <t>1.25.25</t>
  </si>
  <si>
    <t>Nadmierne zadłużenie, konsumpcja i zamożność</t>
  </si>
  <si>
    <t>Badanie nowe cykliczne co 6 lat</t>
  </si>
  <si>
    <t>1.26.01</t>
  </si>
  <si>
    <t>Gospodarowanie zasobami mieszkaniowymi</t>
  </si>
  <si>
    <t>1.26.04</t>
  </si>
  <si>
    <t>Obrót nieruchomościami</t>
  </si>
  <si>
    <t>GUS, MIiR</t>
  </si>
  <si>
    <t>1.26.06</t>
  </si>
  <si>
    <t>Infrastruktura techniczna sieci wodociągowych i kanalizacyjnych, ciepłowniczych, gazu z sieci oraz energii elektrycznej</t>
  </si>
  <si>
    <t>1.26.09</t>
  </si>
  <si>
    <t>Badanie cen nieruchomości mieszkaniowych, gruntowych i komercyjnych</t>
  </si>
  <si>
    <t>729 000 zł - budżet NBP</t>
  </si>
  <si>
    <t>1.26.10</t>
  </si>
  <si>
    <t>Charakterystyka zasobów budynkowych</t>
  </si>
  <si>
    <t>1.27.01</t>
  </si>
  <si>
    <t>Placówki wychowania przedszkolnego, szkoły podstawowe i szkoły ponadpodstawowe</t>
  </si>
  <si>
    <t>GUS, MEN</t>
  </si>
  <si>
    <t>1 867 803 zł - budżet MEN</t>
  </si>
  <si>
    <t>1.27.04</t>
  </si>
  <si>
    <t>Opieka nad dziećmi i młodzieżą</t>
  </si>
  <si>
    <t>307 385 zł - budżet MEN</t>
  </si>
  <si>
    <t>1.27.05</t>
  </si>
  <si>
    <t>Szkolnictwo wyższe i jego finanse</t>
  </si>
  <si>
    <t>GUS, MNiSW</t>
  </si>
  <si>
    <t>78 000 zł - budżet MNiSW</t>
  </si>
  <si>
    <t>1.27.11</t>
  </si>
  <si>
    <t>Ustawiczne szkolenie zawodowe w przedsiębiorstwach</t>
  </si>
  <si>
    <t>1.28.01</t>
  </si>
  <si>
    <t>Obiekty i działalność instytucji kultury</t>
  </si>
  <si>
    <t>1.28.02</t>
  </si>
  <si>
    <t>Działalność w zakresie kinematografii</t>
  </si>
  <si>
    <t>GUS, MKiDN</t>
  </si>
  <si>
    <t>1 968 zł - budżet MKiDN</t>
  </si>
  <si>
    <t>1.28.03</t>
  </si>
  <si>
    <t>Środki komunikacji masowej</t>
  </si>
  <si>
    <t>1.28.05</t>
  </si>
  <si>
    <t>Działalność archiwalna</t>
  </si>
  <si>
    <t>MKiDN</t>
  </si>
  <si>
    <t>2 625 zł - budżet MKiDN</t>
  </si>
  <si>
    <t>1.28.08</t>
  </si>
  <si>
    <t>Masowe imprezy artystyczno-rozrywkowe oraz sportowe</t>
  </si>
  <si>
    <t>1.28.09</t>
  </si>
  <si>
    <t>Rynek dzieł sztuki</t>
  </si>
  <si>
    <t>1.28.10</t>
  </si>
  <si>
    <t>Badanie finansów instytucji kultury</t>
  </si>
  <si>
    <t>1.28.12</t>
  </si>
  <si>
    <t>Przemysły kultury i kreatywne</t>
  </si>
  <si>
    <t>Badanie nowe stałe</t>
  </si>
  <si>
    <t>1.29.01</t>
  </si>
  <si>
    <t>Stan zdrowia ludności. Monitoring zdrowia</t>
  </si>
  <si>
    <t>1.29.02</t>
  </si>
  <si>
    <t>Zachorowania i leczeni na wybrane choroby</t>
  </si>
  <si>
    <t>MZ, MSWiA</t>
  </si>
  <si>
    <t>1.29.03</t>
  </si>
  <si>
    <t>Hospitalizacja</t>
  </si>
  <si>
    <t>MZ</t>
  </si>
  <si>
    <t>1.29.04</t>
  </si>
  <si>
    <t>Profilaktyka</t>
  </si>
  <si>
    <t>1.29.05</t>
  </si>
  <si>
    <t>Szczepienia ochronne</t>
  </si>
  <si>
    <t>40 000 zł - budżet MZ</t>
  </si>
  <si>
    <t>1.29.06</t>
  </si>
  <si>
    <t>Kadra medyczna ochrony zdrowia</t>
  </si>
  <si>
    <t>MZ, GUS, MSWiA</t>
  </si>
  <si>
    <t>1.29.07</t>
  </si>
  <si>
    <t>Infrastruktura ochrony zdrowia i jej funkcjonowanie</t>
  </si>
  <si>
    <t>MZ, GUS, MSWiA, MON</t>
  </si>
  <si>
    <t>37 388 zł - budżet MSWiA                    435 949 zł - budżet MZ</t>
  </si>
  <si>
    <t>1.29.09</t>
  </si>
  <si>
    <t>Apteki</t>
  </si>
  <si>
    <t>1.29.10</t>
  </si>
  <si>
    <t>Ochrona zdrowia w gospodarstwach domowych</t>
  </si>
  <si>
    <t>1.29.14</t>
  </si>
  <si>
    <t>Działalność Państwowej Inspekcji Sanitarnej</t>
  </si>
  <si>
    <t>56 841 zł - budżet MSWiA                    45 000 zł - budżet MZ</t>
  </si>
  <si>
    <t>1.29.16</t>
  </si>
  <si>
    <t>Ekonomiczne aspekty funkcjonowania ochrony zdrowia</t>
  </si>
  <si>
    <t>142 269 zł - budżet MZ</t>
  </si>
  <si>
    <t>1.29.17</t>
  </si>
  <si>
    <t>Narodowy Rachunek Zdrowia</t>
  </si>
  <si>
    <t>1.29.18</t>
  </si>
  <si>
    <t>Działalność samorządów lokalnych w zakresie profilaktyki i rozwiązywania problemów alkoholowych</t>
  </si>
  <si>
    <t>62 080 zł - budżet MZ</t>
  </si>
  <si>
    <t>1.30.01</t>
  </si>
  <si>
    <t>Sport</t>
  </si>
  <si>
    <t>1.30.03</t>
  </si>
  <si>
    <t>Baza noclegowa turystyki i jej wykorzystanie</t>
  </si>
  <si>
    <t>1.30.11</t>
  </si>
  <si>
    <t>Ruch graniczny</t>
  </si>
  <si>
    <t>1.30.15</t>
  </si>
  <si>
    <t>Uczestnictwo w sporcie i rekreacji ruchowej</t>
  </si>
  <si>
    <t>1.30.16</t>
  </si>
  <si>
    <t>Działalność wybranych organizacji powiązanych z turystyką</t>
  </si>
  <si>
    <t>1.30.17</t>
  </si>
  <si>
    <t>Podróże nierezydentów do Polski. Ruch pojazdów i osób na granicy Polski z krajami Unii Europejskiej</t>
  </si>
  <si>
    <t>GUS, MSiT, NBP</t>
  </si>
  <si>
    <t>353 800 zł - budżet MSiT                   145 100 zł - budżet NBP</t>
  </si>
  <si>
    <t>1.30.18</t>
  </si>
  <si>
    <t>Uczestnictwo mieszkańców Polski (rezydentów) w podróżach</t>
  </si>
  <si>
    <t>1 009 300 zł - budżet MSiT                    895 870 zł - budżet NBP</t>
  </si>
  <si>
    <t>1.43.01</t>
  </si>
  <si>
    <t>Działalność badawcza i rozwojowa (B + R)</t>
  </si>
  <si>
    <t>1.43.02</t>
  </si>
  <si>
    <t>Innowacje w przemyśle</t>
  </si>
  <si>
    <t>1.43.05</t>
  </si>
  <si>
    <t>Ochrona własności przemysłowej w Polsce</t>
  </si>
  <si>
    <t>UP RP, GUS</t>
  </si>
  <si>
    <t>5 000 zł - budżet UP RP</t>
  </si>
  <si>
    <t>1.43.06</t>
  </si>
  <si>
    <t>Produkcja, zatrudnienie i handel zagraniczny w zakresie wysokiej techniki</t>
  </si>
  <si>
    <t>1.43.09</t>
  </si>
  <si>
    <t>Zasoby ludzkie dla nauki i techniki (HRST)</t>
  </si>
  <si>
    <t>1.43.12</t>
  </si>
  <si>
    <t>Biotechnologia</t>
  </si>
  <si>
    <t>93 500 zł - budżet MNiSW</t>
  </si>
  <si>
    <t>1.43.13</t>
  </si>
  <si>
    <t>Innowacje w sektorze usług</t>
  </si>
  <si>
    <t>1.43.14</t>
  </si>
  <si>
    <t>Wskaźniki społeczeństwa informacyjnego</t>
  </si>
  <si>
    <t>1.43.17</t>
  </si>
  <si>
    <t>Nanotechnologia</t>
  </si>
  <si>
    <t>1.44.01</t>
  </si>
  <si>
    <t>Bilanse paliw i energii</t>
  </si>
  <si>
    <t>GUS, ME</t>
  </si>
  <si>
    <t>1 860 000 zł - budżet ME</t>
  </si>
  <si>
    <t>1.44.02</t>
  </si>
  <si>
    <t>Elektroenergetyka i ciepłownictwo</t>
  </si>
  <si>
    <t>ME, URE</t>
  </si>
  <si>
    <t>1 860 000 zł - budżet ME                130 000 zł - budżet URE</t>
  </si>
  <si>
    <t>1.44.03</t>
  </si>
  <si>
    <t>Specjalistyczne badanie statystyczne w zakresie paliw i energii</t>
  </si>
  <si>
    <t>1 047 000 zł - budżet ME</t>
  </si>
  <si>
    <t>1.44.04</t>
  </si>
  <si>
    <t>Badanie zużycia paliw i energii w gospodarstwach domowych</t>
  </si>
  <si>
    <t>178 000 zł - budżet ME</t>
  </si>
  <si>
    <t>1.44.05</t>
  </si>
  <si>
    <t>Gospodarowanie materiałami</t>
  </si>
  <si>
    <t>1.44.11</t>
  </si>
  <si>
    <t>Paliwa ciekłe i gazowe</t>
  </si>
  <si>
    <t>1 725 000 zł - budżet ME                    20 000 zł - budżet URE</t>
  </si>
  <si>
    <t>1.44.15</t>
  </si>
  <si>
    <t>Struktura zużycia materiałów, energii i usług obcych oraz zapasów materiałów</t>
  </si>
  <si>
    <t>1.44.16</t>
  </si>
  <si>
    <t>Górnictwo węgla kamiennego i brunatnego</t>
  </si>
  <si>
    <t>1.45.02</t>
  </si>
  <si>
    <t>Gospodarka ziemią</t>
  </si>
  <si>
    <t>MRiRW</t>
  </si>
  <si>
    <t>3 337 zł – budżet MRiRW</t>
  </si>
  <si>
    <t>1.45.03</t>
  </si>
  <si>
    <t>Użytkowanie gruntów</t>
  </si>
  <si>
    <t>1.45.05</t>
  </si>
  <si>
    <t>Powierzchnia zasiewów</t>
  </si>
  <si>
    <t>1.45.06</t>
  </si>
  <si>
    <t>Okresowe oceny stanu upraw</t>
  </si>
  <si>
    <t>1.45.07</t>
  </si>
  <si>
    <t>Produkcja ważniejszych upraw rolnych</t>
  </si>
  <si>
    <t>1.45.08</t>
  </si>
  <si>
    <t>Produkcja ważniejszych upraw ogrodniczych</t>
  </si>
  <si>
    <t>1.45.09</t>
  </si>
  <si>
    <t>Pogłowie i produkcja bydła oraz innych gatunków zwierząt gospodarskich (bez świń)</t>
  </si>
  <si>
    <t>GUS, MRiRW</t>
  </si>
  <si>
    <t>700 zł – budżet MRiRW</t>
  </si>
  <si>
    <t>1.45.10</t>
  </si>
  <si>
    <t>Pogłowie i produkcja świń</t>
  </si>
  <si>
    <t>1.45.12</t>
  </si>
  <si>
    <t>Skup ważniejszych produktów rolnych i leśnych</t>
  </si>
  <si>
    <t>1.45.13</t>
  </si>
  <si>
    <t>Środki produkcji w rolnictwie</t>
  </si>
  <si>
    <t>74 000 zł - budżet MRiRW</t>
  </si>
  <si>
    <t>1.45.15</t>
  </si>
  <si>
    <t>Ochrona roślin</t>
  </si>
  <si>
    <t>95 000 zł - budżet MRiRW                    5 628 zł - budżet GIORiN
354 575 zł - budżety wojewódzkich inspektoratów ochrony roślin i nasiennictwa</t>
  </si>
  <si>
    <t>1.45.18</t>
  </si>
  <si>
    <t>Syntetyczne mierniki produkcji rolniczej</t>
  </si>
  <si>
    <t>1.45.19</t>
  </si>
  <si>
    <t>Bilanse produktów rolniczych</t>
  </si>
  <si>
    <t>1.45.20</t>
  </si>
  <si>
    <t>Ocena sytuacji produkcyjno-rynkowej w rolnictwie</t>
  </si>
  <si>
    <t>1.45.29</t>
  </si>
  <si>
    <t>Powszechny Spis Rolny 2020 - prace przygotowawcze</t>
  </si>
  <si>
    <t>Badanie cykliczne, ostatnio w 2018</t>
  </si>
  <si>
    <t>1.45.34</t>
  </si>
  <si>
    <t>Działalność weterynaryjna</t>
  </si>
  <si>
    <t>GIW</t>
  </si>
  <si>
    <t>1 992 507 zł - budżet GIW</t>
  </si>
  <si>
    <t>1.45.37</t>
  </si>
  <si>
    <t>Rachunki ekonomiczne rolnictwa</t>
  </si>
  <si>
    <t>GUS, IERiGŻ</t>
  </si>
  <si>
    <t>47 274 zł - budżet IERiGŻ</t>
  </si>
  <si>
    <t>1.45.38</t>
  </si>
  <si>
    <t>Koniunktura w rolnictwie</t>
  </si>
  <si>
    <t>1.46.01</t>
  </si>
  <si>
    <t>Produkcja sprzedana przemysłu</t>
  </si>
  <si>
    <t>1.46.04</t>
  </si>
  <si>
    <t>Produkcja wyrobów przemysłowych</t>
  </si>
  <si>
    <t>1.46.08</t>
  </si>
  <si>
    <t>Specjalistyczne badanie statystyczne w przemyśle koksowniczym</t>
  </si>
  <si>
    <t>1.46.11</t>
  </si>
  <si>
    <t>Obrót i nowe zamówienia w przemyśle</t>
  </si>
  <si>
    <t>1.46.12</t>
  </si>
  <si>
    <t>Skup i produkcja mleka oraz przetworów mlecznych</t>
  </si>
  <si>
    <t>MRiRW, GUS</t>
  </si>
  <si>
    <t>12 800 zł – budżet MRiRW</t>
  </si>
  <si>
    <t>1.46.13</t>
  </si>
  <si>
    <t>Produkcja, zapasy i rozdysponowanie alkoholu etylowego</t>
  </si>
  <si>
    <t xml:space="preserve"> 5 000 zł – budżet MRiRW</t>
  </si>
  <si>
    <t>1.47.01</t>
  </si>
  <si>
    <t>Produkcja budowlano-montażowa; koszty w układzie kalkulacyjnym</t>
  </si>
  <si>
    <t>1.47.04</t>
  </si>
  <si>
    <t>Wydane pozwolenia na budowę i zgłoszenia z projektem budowlanym budowy obiektów budowlanych oraz efekty działalności budowlanej</t>
  </si>
  <si>
    <t>1.47.05</t>
  </si>
  <si>
    <t>Obiekty budowlane oddane do użytkowania</t>
  </si>
  <si>
    <t>GUNB</t>
  </si>
  <si>
    <t>11 500 zł - budżet GUNB</t>
  </si>
  <si>
    <t>1.47.06</t>
  </si>
  <si>
    <t>Nakazy rozbiórki obiektów budowlanych</t>
  </si>
  <si>
    <t>1.48.01</t>
  </si>
  <si>
    <t>Transport kolejowy</t>
  </si>
  <si>
    <t>1.48.02</t>
  </si>
  <si>
    <t>Transport drogowy towarowy i pasażerski</t>
  </si>
  <si>
    <t>1.48.06</t>
  </si>
  <si>
    <t>Poczta</t>
  </si>
  <si>
    <t>1.48.08</t>
  </si>
  <si>
    <t>Transport lotniczy</t>
  </si>
  <si>
    <t>1.48.10</t>
  </si>
  <si>
    <t>Transport rurociągowy</t>
  </si>
  <si>
    <t>1.48.11</t>
  </si>
  <si>
    <t>Wartość usług transportu, poczty i telekomunikacji</t>
  </si>
  <si>
    <t>1.48.13</t>
  </si>
  <si>
    <t>Pojazdy samochodowe i maszyny do wykorzystania na cele obronne</t>
  </si>
  <si>
    <t>MON</t>
  </si>
  <si>
    <t>128 600 zł - budżet MON</t>
  </si>
  <si>
    <t>1.48.15</t>
  </si>
  <si>
    <t>Wypadki drogowe</t>
  </si>
  <si>
    <t>1.48.16</t>
  </si>
  <si>
    <t>Transport intermodalny</t>
  </si>
  <si>
    <t>1.48.17</t>
  </si>
  <si>
    <t>Sieć drogowa i pojazdy samochodowe</t>
  </si>
  <si>
    <t>1.48.18</t>
  </si>
  <si>
    <t>Telekomunikacja</t>
  </si>
  <si>
    <t>1.49.01</t>
  </si>
  <si>
    <t>Podaż wyrobów i towarów konsumpcyjnych na rynku krajowym</t>
  </si>
  <si>
    <t>1.49.02</t>
  </si>
  <si>
    <t>Obrót, sprzedaż detaliczna i hurtowa oraz infrastruktura handlowa</t>
  </si>
  <si>
    <t>1.49.05</t>
  </si>
  <si>
    <t>Obrót i działalność gastronomiczna</t>
  </si>
  <si>
    <t>1.49.08</t>
  </si>
  <si>
    <t>Ocena przedsiębiorstw świadczących usługi związane z obsługą działalności gospodarczej</t>
  </si>
  <si>
    <t>1.49.09</t>
  </si>
  <si>
    <t>Bieżąca ocena wybranych działalności usługowych</t>
  </si>
  <si>
    <t>1.49.10</t>
  </si>
  <si>
    <t>Popyt na usługi</t>
  </si>
  <si>
    <t>1.50.01</t>
  </si>
  <si>
    <t>Transport morski i przybrzeżny</t>
  </si>
  <si>
    <t>1.50.02</t>
  </si>
  <si>
    <t>Specjalistyczne badania statystyczne w przemyśle stoczniowym</t>
  </si>
  <si>
    <t>MGMiŻŚ, GUS</t>
  </si>
  <si>
    <t>120 000 zł - budżet MGMiŻŚ</t>
  </si>
  <si>
    <t>1.50.03</t>
  </si>
  <si>
    <t>Zatrudnienie i wyniki finansowe w gospodarce morskiej</t>
  </si>
  <si>
    <t>1.50.04</t>
  </si>
  <si>
    <t>Wypadki morskie i ratownictwo morskie</t>
  </si>
  <si>
    <t>1.50.05</t>
  </si>
  <si>
    <t>Ochrona środowiska morskiego</t>
  </si>
  <si>
    <t>1.50.06</t>
  </si>
  <si>
    <t>Turystyka morska i przybrzeżna</t>
  </si>
  <si>
    <t>1.50.07</t>
  </si>
  <si>
    <t>Szkolnictwo morskie i nauka</t>
  </si>
  <si>
    <t>1.50.08</t>
  </si>
  <si>
    <t>Gospodarka rybna</t>
  </si>
  <si>
    <t>MGMiŻŚ</t>
  </si>
  <si>
    <t>242 925 zł - budżet MGMiŻŚ</t>
  </si>
  <si>
    <t>1.50.09</t>
  </si>
  <si>
    <t>Transport wodny śródlądowy</t>
  </si>
  <si>
    <t>1.51.01</t>
  </si>
  <si>
    <t>Realizacja eksportu i importu w wyrażeniu ilościowo-wartościowym z krajami spoza UE (niebędącymi członkami UE)</t>
  </si>
  <si>
    <t>GUS, MF, MPiT</t>
  </si>
  <si>
    <t>207 964 zł - budżet MF</t>
  </si>
  <si>
    <t>1.51.04</t>
  </si>
  <si>
    <t>Badanie porównawcze ze statystykami międzynarodowymi</t>
  </si>
  <si>
    <t>1.51.07</t>
  </si>
  <si>
    <t>Realizacja przywozu i wywozu towarów w wyrażeniu ilościowo-wartościowym z krajami UE</t>
  </si>
  <si>
    <t>5 669 210 zł - budżet MF</t>
  </si>
  <si>
    <t>1.51.08</t>
  </si>
  <si>
    <t>Realizacja międzynarodowego handlu towarami w wyrażeniu ilościowo-wartościowym</t>
  </si>
  <si>
    <t>1.51.09</t>
  </si>
  <si>
    <t>Międzynarodowy handel usługami</t>
  </si>
  <si>
    <t>GUS, NBP</t>
  </si>
  <si>
    <t>80 000 zł - budżet NBP</t>
  </si>
  <si>
    <t>1.52.01</t>
  </si>
  <si>
    <t>Zasoby leśne</t>
  </si>
  <si>
    <t>GUS, MŚ</t>
  </si>
  <si>
    <t>1.52.02</t>
  </si>
  <si>
    <t>Zagospodarowanie lasu i zadrzewienia</t>
  </si>
  <si>
    <t>1.52.03</t>
  </si>
  <si>
    <t>Użytkowanie lasu</t>
  </si>
  <si>
    <t>1.52.04</t>
  </si>
  <si>
    <t>Działalność gospodarcza Państwowego Gospodarstwa Leśnego Lasy Państwowe</t>
  </si>
  <si>
    <t>MŚ</t>
  </si>
  <si>
    <t>42 000 zł – środki własne Dyrekcji Generalnej Lasów Państwowych</t>
  </si>
  <si>
    <t>1.52.05</t>
  </si>
  <si>
    <t>Łowiectwo</t>
  </si>
  <si>
    <t>1.52.06</t>
  </si>
  <si>
    <t>Ekonomiczne aspekty leśnictwa</t>
  </si>
  <si>
    <t>1.52.07</t>
  </si>
  <si>
    <t>Rachunki środowiskowe i ekonomiczne dla lasów</t>
  </si>
  <si>
    <t>1.61.01</t>
  </si>
  <si>
    <t>Bieżące wyniki finansowe i nakłady na środki trwałe przedsiębiorstw oraz aktywa i pasywa finansowe</t>
  </si>
  <si>
    <t>1.61.04</t>
  </si>
  <si>
    <t>Ocena bieżącej działalności gospodarczej przedsiębiorstw</t>
  </si>
  <si>
    <t>1.61.05</t>
  </si>
  <si>
    <t>Roczne badanie działalności gospodarczej przedsiębiorstw</t>
  </si>
  <si>
    <t>1.61.08</t>
  </si>
  <si>
    <t>Badanie nowopowstałych przedsiębiorstw</t>
  </si>
  <si>
    <t>1.61.10</t>
  </si>
  <si>
    <t>Badanie koniunktury gospodarczej</t>
  </si>
  <si>
    <t>1.61.12</t>
  </si>
  <si>
    <t>Grupy przedsiębiorstw</t>
  </si>
  <si>
    <t>1.61.13</t>
  </si>
  <si>
    <t>Instrumenty finansowe przedsiębiorstw niefinansowych</t>
  </si>
  <si>
    <t>1.61.14</t>
  </si>
  <si>
    <t>Wskaźniki przedsiębiorczości</t>
  </si>
  <si>
    <t>1.61.15</t>
  </si>
  <si>
    <t>Podmioty z kapitałem zagranicznym</t>
  </si>
  <si>
    <t>1.61.16</t>
  </si>
  <si>
    <t>Działalność podmiotów posiadających udziały w jednostkach z siedzibą za granicą</t>
  </si>
  <si>
    <t>1.61.17</t>
  </si>
  <si>
    <t>Statystyka strukturalna przedsiębiorstw niefinansowych i jednostek zależnych</t>
  </si>
  <si>
    <t>1.61.18</t>
  </si>
  <si>
    <t>Globalne łańcuchy wartości</t>
  </si>
  <si>
    <t>Badanie nowe cykliczne co 3 lata</t>
  </si>
  <si>
    <t>1.62.02</t>
  </si>
  <si>
    <t>Wyniki finansowe banków</t>
  </si>
  <si>
    <t>1.62.04</t>
  </si>
  <si>
    <t>Wyniki finansowe zakładów ubezpieczeń/reasekuracji</t>
  </si>
  <si>
    <t>GUS, KNF</t>
  </si>
  <si>
    <t>69 000 zł - budżet KNF</t>
  </si>
  <si>
    <t>1.62.07</t>
  </si>
  <si>
    <t>Wyniki finansowe spółdzielczych kas oszczędnościowo-kredytowych</t>
  </si>
  <si>
    <t>1.62.08</t>
  </si>
  <si>
    <t>Wyniki finansowe funduszy inwestycyjnych</t>
  </si>
  <si>
    <t>1.62.09</t>
  </si>
  <si>
    <t>Wyniki finansowe Otwartych Funduszy Emerytalnych i Powszechnych Towarzystw Emerytalnych oraz Pracownicze Plany Kapitałowe</t>
  </si>
  <si>
    <t>11 074 zł - budżet KNF</t>
  </si>
  <si>
    <t>1.62.11</t>
  </si>
  <si>
    <t>Działalność przedsiębiorstw pośrednictwa kredytowego</t>
  </si>
  <si>
    <t>1.62.12</t>
  </si>
  <si>
    <t>Działalność faktoringowa przedsiębiorstw finansowych</t>
  </si>
  <si>
    <t>1.62.13</t>
  </si>
  <si>
    <t>Działalność przedsiębiorstw leasingowych</t>
  </si>
  <si>
    <t>1.62.16</t>
  </si>
  <si>
    <t>Wyniki finansowe towarzystw funduszy inwestycyjnych</t>
  </si>
  <si>
    <t>1.62.17</t>
  </si>
  <si>
    <t>Pieniądz i zorganizowany rynek instrumentów finansowych</t>
  </si>
  <si>
    <t>1.62.20</t>
  </si>
  <si>
    <t>Działalność przedsiębiorstw windykacyjnych</t>
  </si>
  <si>
    <t>1.64.01</t>
  </si>
  <si>
    <t>Ceny w rolnictwie</t>
  </si>
  <si>
    <t>1.64.03</t>
  </si>
  <si>
    <t>Badanie cen producentów wyrobów i usług w przemyśle, leśnictwie oraz rybactwie</t>
  </si>
  <si>
    <t>1.64.04</t>
  </si>
  <si>
    <t>Krajowe średnie ceny producentów wyrobów spożywczych</t>
  </si>
  <si>
    <t>1.64.05</t>
  </si>
  <si>
    <t>Badanie cen producentów robót i obiektów budowlanych</t>
  </si>
  <si>
    <t>1.64.06</t>
  </si>
  <si>
    <t>Badanie cen robót i obiektów drogowych oraz mostowych</t>
  </si>
  <si>
    <t>1.64.07</t>
  </si>
  <si>
    <t>Badanie cen towarów i usług konsumpcyjnych</t>
  </si>
  <si>
    <t>1.64.08</t>
  </si>
  <si>
    <t>Badanie cen detalicznych środków produkcji rolniczej</t>
  </si>
  <si>
    <t>1.64.09</t>
  </si>
  <si>
    <t>Badanie cen towarów i usług związanych z nabywaniem mieszkań i domów</t>
  </si>
  <si>
    <t>1.64.10</t>
  </si>
  <si>
    <t>Poziomy, dynamika i relacje cen w międzynarodowym handlu towarami</t>
  </si>
  <si>
    <t>1.64.12</t>
  </si>
  <si>
    <t>Wskaźniki inflacji bazowej</t>
  </si>
  <si>
    <t>68 000 zł – budżet NBP</t>
  </si>
  <si>
    <t>1.64.14</t>
  </si>
  <si>
    <t>Ceny i inflacja a polityka pieniężna NBP</t>
  </si>
  <si>
    <t>60 700 zł – budżet NBP</t>
  </si>
  <si>
    <t>1.64.15</t>
  </si>
  <si>
    <t>Badanie indeksów cen eksportu i importu</t>
  </si>
  <si>
    <t>1.64.16</t>
  </si>
  <si>
    <t>Badanie cen producentów usług</t>
  </si>
  <si>
    <t>1.64.18</t>
  </si>
  <si>
    <t>Stopień sztywności cen w gospodarce polskiej</t>
  </si>
  <si>
    <t>89 900 zł – budżet NBP</t>
  </si>
  <si>
    <t>1.64.19</t>
  </si>
  <si>
    <t>Badanie cen nieruchomości mieszkalnych</t>
  </si>
  <si>
    <t>1.65.11</t>
  </si>
  <si>
    <t>Budżety jednostek samorządu terytorialnego</t>
  </si>
  <si>
    <t>1.65.13</t>
  </si>
  <si>
    <t>Statystyka finansów sektora instytucji rządowych i samorządowych</t>
  </si>
  <si>
    <t>GUS, MF</t>
  </si>
  <si>
    <t>131 439 zł - budżet MF</t>
  </si>
  <si>
    <t>1.65.14</t>
  </si>
  <si>
    <t>Dochody podatkowe sektora instytucji rządowych i samorządowych</t>
  </si>
  <si>
    <t>MF</t>
  </si>
  <si>
    <t>12 501 zł - budżet MF</t>
  </si>
  <si>
    <t>1.65.16</t>
  </si>
  <si>
    <t>Dochody i wydatki budżetu państwa</t>
  </si>
  <si>
    <t>1.65.18</t>
  </si>
  <si>
    <t>Państwowe fundusze celowe</t>
  </si>
  <si>
    <t>1.65.19</t>
  </si>
  <si>
    <t>Notyfikacja fiskalna deficytu i długu sektora instytucji rządowych i samorządowych</t>
  </si>
  <si>
    <t>34 407 zł - budżet MF</t>
  </si>
  <si>
    <t>1.65.20</t>
  </si>
  <si>
    <t>Kwartalne rachunki niefinansowe sektora instytucji rządowych i samorządowych</t>
  </si>
  <si>
    <t>1.65.21</t>
  </si>
  <si>
    <t>Kwartalny dług publiczny sektora instytucji rządowych i samorządowych</t>
  </si>
  <si>
    <t>1.65.22</t>
  </si>
  <si>
    <t>Należności, zobowiązania, poręczenia i gwarancje jednostek sektora finansów publicznych</t>
  </si>
  <si>
    <t>1.65.28</t>
  </si>
  <si>
    <t>Rentowność pięcioletnich obligacji Skarbu Państwa</t>
  </si>
  <si>
    <t>1.65.31</t>
  </si>
  <si>
    <t>Dane fiskalne na potrzeby nadzoru budżetowego UE</t>
  </si>
  <si>
    <t>47 485 zł - budżet MF</t>
  </si>
  <si>
    <t>1.66.01</t>
  </si>
  <si>
    <t>Środki trwałe w gospodarce narodowej</t>
  </si>
  <si>
    <t>1.66.02</t>
  </si>
  <si>
    <t>Nakłady na środki trwałe</t>
  </si>
  <si>
    <t>1.67.01</t>
  </si>
  <si>
    <t>Rachunki narodowe niefinansowe według sektorów i podsektorów instytucjonalnych</t>
  </si>
  <si>
    <t>1.67.03</t>
  </si>
  <si>
    <t>Rachunki kwartalne</t>
  </si>
  <si>
    <t>1.67.04</t>
  </si>
  <si>
    <t>Dochody do dyspozycji sektora gospodarstw domowych</t>
  </si>
  <si>
    <t>1.67.05</t>
  </si>
  <si>
    <t>Spożycie indywidualne w gospodarstwach domowych</t>
  </si>
  <si>
    <t>1.67.06</t>
  </si>
  <si>
    <t>Rachunek podaży i wykorzystania wyrobów i usług (przepływów produktowych)</t>
  </si>
  <si>
    <t>1.67.07</t>
  </si>
  <si>
    <t>Produkt krajowy brutto i jego elementy w ujęciu regionalnym</t>
  </si>
  <si>
    <t>1.67.08</t>
  </si>
  <si>
    <t>Badanie rozmiarów gospodarki nieobserwowanej</t>
  </si>
  <si>
    <t>1.67.12</t>
  </si>
  <si>
    <t>Międzynarodowe porównanie produktu krajowego brutto, siły nabywczej walut oraz czynszów najmu mieszkań/domów</t>
  </si>
  <si>
    <t>1.67.14</t>
  </si>
  <si>
    <t>Rachunki finansowe sektora instytucji rządowych i samorządowych</t>
  </si>
  <si>
    <t>1.67.15</t>
  </si>
  <si>
    <t>Rachunki finansowe według sektorów instytucjonalnych</t>
  </si>
  <si>
    <t>NBP, GUS</t>
  </si>
  <si>
    <t>565 000 zł – budżet NBP</t>
  </si>
  <si>
    <t>1.70.01</t>
  </si>
  <si>
    <t>Zróżnicowanie poziomu i dynamiki rozwoju regionalnego</t>
  </si>
  <si>
    <t>1.70.02</t>
  </si>
  <si>
    <t>Statystyczny system informacyjny o miastach</t>
  </si>
  <si>
    <t>1.70.03</t>
  </si>
  <si>
    <t>Statystyczny system informacyjny obszarów wiejskich</t>
  </si>
  <si>
    <t>1.80.01</t>
  </si>
  <si>
    <t>System Jednostek Statystycznych - operaty</t>
  </si>
  <si>
    <t>1.80.02</t>
  </si>
  <si>
    <t>System Jednostek do Badań Społecznych - operaty</t>
  </si>
  <si>
    <t>1.80.03</t>
  </si>
  <si>
    <t>System Jednostek do Badań Rolniczych - operaty</t>
  </si>
  <si>
    <t>SUMA</t>
  </si>
  <si>
    <t>badania nowe (3)</t>
  </si>
  <si>
    <t>badania cykliczne (13)</t>
  </si>
  <si>
    <t>Koszty badań finansowane z budżetu (w mln zł):</t>
  </si>
  <si>
    <t>koszty badań GUS</t>
  </si>
  <si>
    <t>12 463 zł - budżet MSWiA                     7 737 204 zł - budżet MZ</t>
  </si>
  <si>
    <t>279 000 zł - budżet MZ</t>
  </si>
  <si>
    <t>16 617 zł - budżet MSWiA                     268 404 zł - budżet MZ</t>
  </si>
  <si>
    <t>16 617 zł - budżet MSWiA                      490 828 zł - budżet MZ</t>
  </si>
  <si>
    <t>MAP</t>
  </si>
  <si>
    <t>241 900 zł - budżet MAP</t>
  </si>
  <si>
    <t>173 230 zł - budżet MAP</t>
  </si>
  <si>
    <t>Załącznik do OSR (pkt.13_Koszty badań statystycznych w Pbssp na rok 2020)   -   korekta LIPIEC 2020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</si>
</sst>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name val="Arial"/>
      <family val="2"/>
    </font>
    <font>
      <sz val="9"/>
      <name val="Fira Sans"/>
      <family val="2"/>
    </font>
    <font>
      <sz val="11"/>
      <color indexed="8"/>
      <name val="Czcionka tekstu podstawowego"/>
      <family val="2"/>
    </font>
    <font>
      <b/>
      <sz val="9"/>
      <name val="Fira Sans"/>
      <family val="2"/>
    </font>
  </fonts>
  <fills count="12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8">
    <xf numFmtId="0" fontId="0" fillId="0" borderId="0" xfId="0"/>
    <xf numFmtId="0" fontId="1" fillId="0" borderId="0" xfId="0" applyFont="1"/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right" vertical="top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4" fontId="1" fillId="0" borderId="1" xfId="20" applyNumberFormat="1" applyFont="1" applyBorder="1" applyAlignment="1">
      <alignment horizontal="right" vertical="center"/>
      <protection/>
    </xf>
    <xf numFmtId="3" fontId="1" fillId="0" borderId="1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center"/>
      <protection/>
    </xf>
    <xf numFmtId="4" fontId="1" fillId="0" borderId="1" xfId="20" applyNumberFormat="1" applyFont="1" applyFill="1" applyBorder="1" applyAlignment="1">
      <alignment horizontal="right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21" applyNumberFormat="1" applyFont="1" applyFill="1" applyBorder="1" applyAlignment="1">
      <alignment horizontal="right" vertical="center"/>
      <protection/>
    </xf>
    <xf numFmtId="1" fontId="1" fillId="0" borderId="0" xfId="20" applyNumberFormat="1" applyFont="1" applyAlignment="1">
      <alignment horizontal="left" vertical="center"/>
      <protection/>
    </xf>
    <xf numFmtId="49" fontId="1" fillId="3" borderId="1" xfId="21" applyNumberFormat="1" applyFont="1" applyFill="1" applyBorder="1" applyAlignment="1">
      <alignment horizontal="right" vertical="center"/>
      <protection/>
    </xf>
    <xf numFmtId="3" fontId="1" fillId="0" borderId="1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Alignment="1">
      <alignment horizontal="left" vertical="center"/>
      <protection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6" borderId="1" xfId="20" applyNumberFormat="1" applyFont="1" applyFill="1" applyBorder="1" applyAlignment="1">
      <alignment horizontal="right" vertical="center"/>
      <protection/>
    </xf>
    <xf numFmtId="0" fontId="1" fillId="5" borderId="1" xfId="0" applyFont="1" applyFill="1" applyBorder="1" applyAlignment="1">
      <alignment horizontal="left" vertical="top" wrapText="1"/>
    </xf>
    <xf numFmtId="2" fontId="1" fillId="0" borderId="1" xfId="21" applyNumberFormat="1" applyFont="1" applyBorder="1" applyAlignment="1">
      <alignment horizontal="right" vertical="center"/>
      <protection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2" fontId="1" fillId="0" borderId="1" xfId="21" applyNumberFormat="1" applyFont="1" applyBorder="1" applyAlignment="1">
      <alignment horizontal="right" vertical="center" wrapText="1"/>
      <protection/>
    </xf>
    <xf numFmtId="1" fontId="1" fillId="0" borderId="0" xfId="0" applyNumberFormat="1" applyFont="1"/>
    <xf numFmtId="1" fontId="1" fillId="0" borderId="1" xfId="21" applyNumberFormat="1" applyFont="1" applyBorder="1" applyAlignment="1">
      <alignment horizontal="right" vertical="center"/>
      <protection/>
    </xf>
    <xf numFmtId="0" fontId="1" fillId="0" borderId="0" xfId="0" applyFont="1" applyAlignment="1">
      <alignment vertical="center" wrapText="1"/>
    </xf>
    <xf numFmtId="2" fontId="1" fillId="0" borderId="1" xfId="21" applyNumberFormat="1" applyFont="1" applyFill="1" applyBorder="1" applyAlignment="1">
      <alignment horizontal="right" vertical="center" wrapText="1"/>
      <protection/>
    </xf>
    <xf numFmtId="0" fontId="1" fillId="0" borderId="0" xfId="20" applyFont="1" applyAlignment="1">
      <alignment vertical="center"/>
      <protection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2" xfId="21" applyNumberFormat="1" applyFont="1" applyBorder="1" applyAlignment="1">
      <alignment horizontal="right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3" xfId="20" applyNumberFormat="1" applyFont="1" applyBorder="1" applyAlignment="1">
      <alignment horizontal="right" vertical="center"/>
      <protection/>
    </xf>
    <xf numFmtId="3" fontId="1" fillId="0" borderId="4" xfId="20" applyNumberFormat="1" applyFont="1" applyFill="1" applyBorder="1" applyAlignment="1">
      <alignment horizontal="right" vertical="center"/>
      <protection/>
    </xf>
    <xf numFmtId="0" fontId="1" fillId="0" borderId="2" xfId="0" applyFont="1" applyBorder="1"/>
    <xf numFmtId="3" fontId="1" fillId="0" borderId="4" xfId="20" applyNumberFormat="1" applyFont="1" applyBorder="1" applyAlignment="1">
      <alignment horizontal="right" vertical="center"/>
      <protection/>
    </xf>
    <xf numFmtId="3" fontId="1" fillId="0" borderId="2" xfId="20" applyNumberFormat="1" applyFont="1" applyBorder="1" applyAlignment="1">
      <alignment horizontal="right" vertical="center"/>
      <protection/>
    </xf>
    <xf numFmtId="0" fontId="1" fillId="0" borderId="5" xfId="20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horizontal="left" vertical="center"/>
    </xf>
    <xf numFmtId="3" fontId="3" fillId="0" borderId="5" xfId="20" applyNumberFormat="1" applyFont="1" applyBorder="1" applyAlignment="1">
      <alignment vertical="center"/>
      <protection/>
    </xf>
    <xf numFmtId="3" fontId="3" fillId="0" borderId="1" xfId="20" applyNumberFormat="1" applyFont="1" applyBorder="1" applyAlignment="1">
      <alignment vertical="center"/>
      <protection/>
    </xf>
    <xf numFmtId="0" fontId="3" fillId="0" borderId="1" xfId="20" applyFont="1" applyBorder="1" applyAlignment="1">
      <alignment horizontal="right" vertical="center"/>
      <protection/>
    </xf>
    <xf numFmtId="3" fontId="3" fillId="0" borderId="1" xfId="20" applyNumberFormat="1" applyFont="1" applyBorder="1" applyAlignment="1">
      <alignment horizontal="right" vertical="top"/>
      <protection/>
    </xf>
    <xf numFmtId="0" fontId="1" fillId="7" borderId="0" xfId="20" applyFont="1" applyFill="1" applyAlignment="1">
      <alignment vertical="center"/>
      <protection/>
    </xf>
    <xf numFmtId="0" fontId="1" fillId="7" borderId="0" xfId="20" applyFont="1" applyFill="1" applyAlignment="1">
      <alignment wrapText="1"/>
      <protection/>
    </xf>
    <xf numFmtId="3" fontId="3" fillId="7" borderId="0" xfId="20" applyNumberFormat="1" applyFont="1" applyFill="1" applyAlignment="1">
      <alignment vertical="center"/>
      <protection/>
    </xf>
    <xf numFmtId="0" fontId="1" fillId="7" borderId="0" xfId="20" applyFont="1" applyFill="1">
      <alignment/>
      <protection/>
    </xf>
    <xf numFmtId="0" fontId="1" fillId="8" borderId="0" xfId="20" applyFont="1" applyFill="1" applyAlignment="1">
      <alignment vertical="center"/>
      <protection/>
    </xf>
    <xf numFmtId="0" fontId="1" fillId="8" borderId="0" xfId="20" applyFont="1" applyFill="1" applyAlignment="1">
      <alignment wrapText="1"/>
      <protection/>
    </xf>
    <xf numFmtId="3" fontId="3" fillId="8" borderId="0" xfId="20" applyNumberFormat="1" applyFont="1" applyFill="1" applyAlignment="1">
      <alignment vertical="center"/>
      <protection/>
    </xf>
    <xf numFmtId="0" fontId="1" fillId="8" borderId="0" xfId="20" applyFont="1" applyFill="1">
      <alignment/>
      <protection/>
    </xf>
    <xf numFmtId="3" fontId="1" fillId="0" borderId="0" xfId="20" applyNumberFormat="1" applyFont="1" applyAlignment="1">
      <alignment vertical="center"/>
      <protection/>
    </xf>
    <xf numFmtId="3" fontId="1" fillId="0" borderId="0" xfId="20" applyNumberFormat="1" applyFont="1">
      <alignment/>
      <protection/>
    </xf>
    <xf numFmtId="164" fontId="1" fillId="0" borderId="0" xfId="20" applyNumberFormat="1" applyFont="1">
      <alignment/>
      <protection/>
    </xf>
    <xf numFmtId="164" fontId="1" fillId="0" borderId="1" xfId="20" applyNumberFormat="1" applyFont="1" applyBorder="1" applyAlignment="1">
      <alignment wrapText="1"/>
      <protection/>
    </xf>
    <xf numFmtId="0" fontId="1" fillId="9" borderId="6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10" borderId="8" xfId="20" applyFont="1" applyFill="1" applyBorder="1" applyAlignment="1">
      <alignment horizontal="center" vertical="center"/>
      <protection/>
    </xf>
    <xf numFmtId="0" fontId="1" fillId="10" borderId="9" xfId="20" applyFont="1" applyFill="1" applyBorder="1" applyAlignment="1">
      <alignment horizontal="center" vertical="center"/>
      <protection/>
    </xf>
    <xf numFmtId="0" fontId="1" fillId="10" borderId="9" xfId="20" applyFont="1" applyFill="1" applyBorder="1" applyAlignment="1">
      <alignment horizontal="center" vertical="center" wrapText="1"/>
      <protection/>
    </xf>
    <xf numFmtId="0" fontId="1" fillId="10" borderId="10" xfId="20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4" fontId="1" fillId="0" borderId="1" xfId="20" applyNumberFormat="1" applyFont="1" applyFill="1" applyBorder="1" applyAlignment="1">
      <alignment horizontal="right" vertical="center"/>
      <protection/>
    </xf>
    <xf numFmtId="2" fontId="1" fillId="0" borderId="1" xfId="20" applyNumberFormat="1" applyFont="1" applyFill="1" applyBorder="1" applyAlignment="1">
      <alignment horizontal="right" vertical="center"/>
      <protection/>
    </xf>
    <xf numFmtId="2" fontId="1" fillId="0" borderId="1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left" vertical="center"/>
      <protection/>
    </xf>
    <xf numFmtId="2" fontId="1" fillId="0" borderId="1" xfId="20" applyNumberFormat="1" applyFont="1" applyBorder="1" applyAlignment="1">
      <alignment horizontal="right" vertical="center" wrapText="1"/>
      <protection/>
    </xf>
    <xf numFmtId="2" fontId="1" fillId="6" borderId="1" xfId="20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9" borderId="11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20" applyFont="1" applyBorder="1" applyAlignment="1">
      <alignment horizontal="center" vertical="center"/>
      <protection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9" borderId="19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alny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S278"/>
  <sheetViews>
    <sheetView tabSelected="1" zoomScale="130" zoomScaleNormal="130" workbookViewId="0" topLeftCell="A142">
      <selection activeCell="A133" sqref="A133:XFD133"/>
    </sheetView>
  </sheetViews>
  <sheetFormatPr defaultColWidth="10.8515625" defaultRowHeight="12.75"/>
  <cols>
    <col min="1" max="1" width="4.8515625" style="37" customWidth="1"/>
    <col min="2" max="2" width="9.7109375" style="37" customWidth="1"/>
    <col min="3" max="3" width="37.7109375" style="2" customWidth="1"/>
    <col min="4" max="4" width="21.00390625" style="2" customWidth="1"/>
    <col min="5" max="5" width="24.8515625" style="2" customWidth="1"/>
    <col min="6" max="6" width="15.28125" style="37" customWidth="1"/>
    <col min="7" max="7" width="28.140625" style="3" customWidth="1"/>
    <col min="8" max="8" width="17.8515625" style="4" customWidth="1"/>
    <col min="9" max="9" width="12.00390625" style="4" customWidth="1"/>
    <col min="10" max="10" width="12.8515625" style="4" customWidth="1"/>
    <col min="11" max="16384" width="10.8515625" style="4" customWidth="1"/>
  </cols>
  <sheetData>
    <row r="1" spans="1:253" ht="12.75">
      <c r="A1" s="1"/>
      <c r="B1" s="1"/>
      <c r="D1" s="1"/>
      <c r="E1" s="1"/>
      <c r="F1" s="1"/>
      <c r="G1" s="3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5.75" customHeight="1" thickBot="1">
      <c r="A2" s="91" t="s">
        <v>671</v>
      </c>
      <c r="B2" s="91"/>
      <c r="C2" s="91"/>
      <c r="D2" s="91"/>
      <c r="E2" s="91"/>
      <c r="F2" s="91"/>
      <c r="G2" s="91"/>
      <c r="H2" s="91"/>
      <c r="I2" s="91"/>
      <c r="J2" s="9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56.25" customHeight="1" thickBot="1">
      <c r="A3" s="92" t="s">
        <v>1</v>
      </c>
      <c r="B3" s="92"/>
      <c r="C3" s="92"/>
      <c r="D3" s="92"/>
      <c r="E3" s="92"/>
      <c r="F3" s="92"/>
      <c r="G3" s="92"/>
      <c r="H3" s="93" t="s">
        <v>2</v>
      </c>
      <c r="I3" s="93"/>
      <c r="J3" s="9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27" customHeight="1" thickBot="1">
      <c r="A4" s="94" t="s">
        <v>3</v>
      </c>
      <c r="B4" s="95" t="s">
        <v>4</v>
      </c>
      <c r="C4" s="95" t="s">
        <v>5</v>
      </c>
      <c r="D4" s="95" t="s">
        <v>6</v>
      </c>
      <c r="E4" s="95" t="s">
        <v>7</v>
      </c>
      <c r="F4" s="96" t="s">
        <v>8</v>
      </c>
      <c r="G4" s="96"/>
      <c r="H4" s="97" t="s">
        <v>9</v>
      </c>
      <c r="I4" s="97"/>
      <c r="J4" s="9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21.75" customHeight="1" thickBot="1">
      <c r="A5" s="94"/>
      <c r="B5" s="95"/>
      <c r="C5" s="95"/>
      <c r="D5" s="95"/>
      <c r="E5" s="95"/>
      <c r="F5" s="86" t="s">
        <v>10</v>
      </c>
      <c r="G5" s="87" t="s">
        <v>11</v>
      </c>
      <c r="H5" s="88" t="s">
        <v>12</v>
      </c>
      <c r="I5" s="89" t="s">
        <v>13</v>
      </c>
      <c r="J5" s="8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72.75" customHeight="1" thickBot="1">
      <c r="A6" s="94"/>
      <c r="B6" s="95"/>
      <c r="C6" s="95"/>
      <c r="D6" s="95"/>
      <c r="E6" s="95"/>
      <c r="F6" s="86"/>
      <c r="G6" s="87"/>
      <c r="H6" s="88"/>
      <c r="I6" s="69" t="s">
        <v>14</v>
      </c>
      <c r="J6" s="70" t="s">
        <v>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10" s="5" customFormat="1" ht="12.75">
      <c r="A7" s="71">
        <v>1</v>
      </c>
      <c r="B7" s="72">
        <v>2</v>
      </c>
      <c r="C7" s="72">
        <v>3</v>
      </c>
      <c r="D7" s="72">
        <v>4</v>
      </c>
      <c r="E7" s="73">
        <v>5</v>
      </c>
      <c r="F7" s="72">
        <v>6</v>
      </c>
      <c r="G7" s="74">
        <v>7</v>
      </c>
      <c r="H7" s="72">
        <v>8</v>
      </c>
      <c r="I7" s="74">
        <v>9</v>
      </c>
      <c r="J7" s="72">
        <v>10</v>
      </c>
    </row>
    <row r="8" spans="1:10" s="11" customFormat="1" ht="24">
      <c r="A8" s="75">
        <v>1</v>
      </c>
      <c r="B8" s="6" t="s">
        <v>16</v>
      </c>
      <c r="C8" s="7" t="s">
        <v>17</v>
      </c>
      <c r="D8" s="7" t="s">
        <v>18</v>
      </c>
      <c r="E8" s="7" t="s">
        <v>10</v>
      </c>
      <c r="F8" s="8">
        <v>24299</v>
      </c>
      <c r="G8" s="9"/>
      <c r="H8" s="10">
        <f>F8</f>
        <v>24299</v>
      </c>
      <c r="I8" s="10"/>
      <c r="J8" s="10"/>
    </row>
    <row r="9" spans="1:10" s="11" customFormat="1" ht="24">
      <c r="A9" s="75">
        <v>2</v>
      </c>
      <c r="B9" s="6" t="s">
        <v>19</v>
      </c>
      <c r="C9" s="7" t="s">
        <v>20</v>
      </c>
      <c r="D9" s="7" t="s">
        <v>18</v>
      </c>
      <c r="E9" s="7" t="s">
        <v>21</v>
      </c>
      <c r="F9" s="8">
        <v>9448</v>
      </c>
      <c r="G9" s="9" t="s">
        <v>22</v>
      </c>
      <c r="H9" s="10">
        <f>F9+2880</f>
        <v>12328</v>
      </c>
      <c r="I9" s="10"/>
      <c r="J9" s="10"/>
    </row>
    <row r="10" spans="1:10" s="11" customFormat="1" ht="24">
      <c r="A10" s="75">
        <v>3</v>
      </c>
      <c r="B10" s="6" t="s">
        <v>23</v>
      </c>
      <c r="C10" s="7" t="s">
        <v>24</v>
      </c>
      <c r="D10" s="7" t="s">
        <v>18</v>
      </c>
      <c r="E10" s="7" t="s">
        <v>25</v>
      </c>
      <c r="F10" s="8">
        <v>7952</v>
      </c>
      <c r="G10" s="9" t="s">
        <v>26</v>
      </c>
      <c r="H10" s="10">
        <f>F10</f>
        <v>7952</v>
      </c>
      <c r="I10" s="10">
        <f>1005544+44100</f>
        <v>1049644</v>
      </c>
      <c r="J10" s="10"/>
    </row>
    <row r="11" spans="1:10" s="11" customFormat="1" ht="24">
      <c r="A11" s="75">
        <v>4</v>
      </c>
      <c r="B11" s="6" t="s">
        <v>27</v>
      </c>
      <c r="C11" s="7" t="s">
        <v>28</v>
      </c>
      <c r="D11" s="7" t="s">
        <v>18</v>
      </c>
      <c r="E11" s="7" t="s">
        <v>29</v>
      </c>
      <c r="F11" s="8">
        <v>1560010</v>
      </c>
      <c r="G11" s="12" t="s">
        <v>30</v>
      </c>
      <c r="H11" s="10">
        <f>F11+1200</f>
        <v>1561210</v>
      </c>
      <c r="I11" s="10"/>
      <c r="J11" s="10"/>
    </row>
    <row r="12" spans="1:10" s="11" customFormat="1" ht="12.75">
      <c r="A12" s="75">
        <v>5</v>
      </c>
      <c r="B12" s="6" t="s">
        <v>31</v>
      </c>
      <c r="C12" s="7" t="s">
        <v>32</v>
      </c>
      <c r="D12" s="7" t="s">
        <v>18</v>
      </c>
      <c r="E12" s="7" t="s">
        <v>29</v>
      </c>
      <c r="F12" s="8">
        <v>330103</v>
      </c>
      <c r="G12" s="12" t="s">
        <v>33</v>
      </c>
      <c r="H12" s="10">
        <f>F12+1459310+17000</f>
        <v>1806413</v>
      </c>
      <c r="I12" s="10"/>
      <c r="J12" s="10"/>
    </row>
    <row r="13" spans="1:10" s="11" customFormat="1" ht="24">
      <c r="A13" s="75">
        <v>6</v>
      </c>
      <c r="B13" s="6" t="s">
        <v>34</v>
      </c>
      <c r="C13" s="7" t="s">
        <v>35</v>
      </c>
      <c r="D13" s="7" t="s">
        <v>18</v>
      </c>
      <c r="E13" s="7" t="s">
        <v>36</v>
      </c>
      <c r="F13" s="8">
        <v>283534</v>
      </c>
      <c r="G13" s="12" t="s">
        <v>30</v>
      </c>
      <c r="H13" s="10">
        <f>F13+1200</f>
        <v>284734</v>
      </c>
      <c r="I13" s="10"/>
      <c r="J13" s="10"/>
    </row>
    <row r="14" spans="1:10" s="11" customFormat="1" ht="12.75">
      <c r="A14" s="75">
        <v>7</v>
      </c>
      <c r="B14" s="6" t="s">
        <v>37</v>
      </c>
      <c r="C14" s="7" t="s">
        <v>38</v>
      </c>
      <c r="D14" s="7" t="s">
        <v>18</v>
      </c>
      <c r="E14" s="7" t="s">
        <v>29</v>
      </c>
      <c r="F14" s="8">
        <v>1036225</v>
      </c>
      <c r="G14" s="12" t="s">
        <v>39</v>
      </c>
      <c r="H14" s="10">
        <f>F14+6449</f>
        <v>1042674</v>
      </c>
      <c r="I14" s="10"/>
      <c r="J14" s="10"/>
    </row>
    <row r="15" spans="1:10" s="11" customFormat="1" ht="24">
      <c r="A15" s="75">
        <v>8</v>
      </c>
      <c r="B15" s="6" t="s">
        <v>40</v>
      </c>
      <c r="C15" s="7" t="s">
        <v>41</v>
      </c>
      <c r="D15" s="7" t="s">
        <v>18</v>
      </c>
      <c r="E15" s="7" t="s">
        <v>42</v>
      </c>
      <c r="F15" s="8">
        <v>7165</v>
      </c>
      <c r="G15" s="12" t="s">
        <v>43</v>
      </c>
      <c r="H15" s="10">
        <f>F15+800</f>
        <v>7965</v>
      </c>
      <c r="I15" s="10"/>
      <c r="J15" s="10"/>
    </row>
    <row r="16" spans="1:10" s="11" customFormat="1" ht="36">
      <c r="A16" s="75">
        <v>9</v>
      </c>
      <c r="B16" s="6" t="s">
        <v>44</v>
      </c>
      <c r="C16" s="7" t="s">
        <v>45</v>
      </c>
      <c r="D16" s="7" t="s">
        <v>18</v>
      </c>
      <c r="E16" s="7" t="s">
        <v>46</v>
      </c>
      <c r="F16" s="10">
        <v>1367326</v>
      </c>
      <c r="G16" s="12" t="s">
        <v>47</v>
      </c>
      <c r="H16" s="10">
        <f>F16+158104+7000+5760</f>
        <v>1538190</v>
      </c>
      <c r="I16" s="10">
        <v>81500</v>
      </c>
      <c r="J16" s="10"/>
    </row>
    <row r="17" spans="1:10" s="11" customFormat="1" ht="24">
      <c r="A17" s="75">
        <v>10</v>
      </c>
      <c r="B17" s="6" t="s">
        <v>48</v>
      </c>
      <c r="C17" s="7" t="s">
        <v>49</v>
      </c>
      <c r="D17" s="7" t="s">
        <v>18</v>
      </c>
      <c r="E17" s="7" t="s">
        <v>10</v>
      </c>
      <c r="F17" s="10">
        <v>40152</v>
      </c>
      <c r="G17" s="76"/>
      <c r="H17" s="10">
        <f aca="true" t="shared" si="0" ref="H17:H23">F17</f>
        <v>40152</v>
      </c>
      <c r="I17" s="10"/>
      <c r="J17" s="10"/>
    </row>
    <row r="18" spans="1:10" s="11" customFormat="1" ht="12.75">
      <c r="A18" s="75">
        <v>11</v>
      </c>
      <c r="B18" s="6" t="s">
        <v>50</v>
      </c>
      <c r="C18" s="7" t="s">
        <v>51</v>
      </c>
      <c r="D18" s="7" t="s">
        <v>18</v>
      </c>
      <c r="E18" s="7" t="s">
        <v>25</v>
      </c>
      <c r="F18" s="10">
        <v>8661</v>
      </c>
      <c r="G18" s="76"/>
      <c r="H18" s="10">
        <f t="shared" si="0"/>
        <v>8661</v>
      </c>
      <c r="I18" s="10"/>
      <c r="J18" s="10"/>
    </row>
    <row r="19" spans="1:10" s="11" customFormat="1" ht="12.75">
      <c r="A19" s="75">
        <v>12</v>
      </c>
      <c r="B19" s="6" t="s">
        <v>52</v>
      </c>
      <c r="C19" s="7" t="s">
        <v>53</v>
      </c>
      <c r="D19" s="7" t="s">
        <v>18</v>
      </c>
      <c r="E19" s="7" t="s">
        <v>10</v>
      </c>
      <c r="F19" s="10">
        <v>40546</v>
      </c>
      <c r="G19" s="76"/>
      <c r="H19" s="10">
        <f t="shared" si="0"/>
        <v>40546</v>
      </c>
      <c r="I19" s="10"/>
      <c r="J19" s="10"/>
    </row>
    <row r="20" spans="1:10" s="11" customFormat="1" ht="12.75">
      <c r="A20" s="75">
        <v>13</v>
      </c>
      <c r="B20" s="13" t="s">
        <v>54</v>
      </c>
      <c r="C20" s="14" t="s">
        <v>55</v>
      </c>
      <c r="D20" s="14" t="s">
        <v>56</v>
      </c>
      <c r="E20" s="14" t="s">
        <v>10</v>
      </c>
      <c r="F20" s="15">
        <v>63635</v>
      </c>
      <c r="G20" s="16"/>
      <c r="H20" s="15">
        <f>F20</f>
        <v>63635</v>
      </c>
      <c r="I20" s="16"/>
      <c r="J20" s="16"/>
    </row>
    <row r="21" spans="1:10" s="11" customFormat="1" ht="12.75">
      <c r="A21" s="75">
        <v>14</v>
      </c>
      <c r="B21" s="6" t="s">
        <v>57</v>
      </c>
      <c r="C21" s="7" t="s">
        <v>58</v>
      </c>
      <c r="D21" s="7" t="s">
        <v>18</v>
      </c>
      <c r="E21" s="7" t="s">
        <v>10</v>
      </c>
      <c r="F21" s="10">
        <v>23953</v>
      </c>
      <c r="G21" s="76"/>
      <c r="H21" s="10">
        <f t="shared" si="0"/>
        <v>23953</v>
      </c>
      <c r="I21" s="10"/>
      <c r="J21" s="10"/>
    </row>
    <row r="22" spans="1:10" s="11" customFormat="1" ht="12.75">
      <c r="A22" s="75">
        <v>15</v>
      </c>
      <c r="B22" s="6" t="s">
        <v>59</v>
      </c>
      <c r="C22" s="17" t="s">
        <v>60</v>
      </c>
      <c r="D22" s="7" t="s">
        <v>18</v>
      </c>
      <c r="E22" s="7" t="s">
        <v>10</v>
      </c>
      <c r="F22" s="10">
        <v>500916</v>
      </c>
      <c r="G22" s="77"/>
      <c r="H22" s="10">
        <f t="shared" si="0"/>
        <v>500916</v>
      </c>
      <c r="I22" s="10"/>
      <c r="J22" s="10"/>
    </row>
    <row r="23" spans="1:10" s="11" customFormat="1" ht="12.75">
      <c r="A23" s="75">
        <v>16</v>
      </c>
      <c r="B23" s="6" t="s">
        <v>61</v>
      </c>
      <c r="C23" s="7" t="s">
        <v>62</v>
      </c>
      <c r="D23" s="7" t="s">
        <v>18</v>
      </c>
      <c r="E23" s="7" t="s">
        <v>10</v>
      </c>
      <c r="F23" s="10">
        <v>15079</v>
      </c>
      <c r="G23" s="77"/>
      <c r="H23" s="10">
        <f t="shared" si="0"/>
        <v>15079</v>
      </c>
      <c r="I23" s="10"/>
      <c r="J23" s="10"/>
    </row>
    <row r="24" spans="1:10" s="11" customFormat="1" ht="24">
      <c r="A24" s="75">
        <v>17</v>
      </c>
      <c r="B24" s="6" t="s">
        <v>63</v>
      </c>
      <c r="C24" s="7" t="s">
        <v>64</v>
      </c>
      <c r="D24" s="7" t="s">
        <v>18</v>
      </c>
      <c r="E24" s="7" t="s">
        <v>65</v>
      </c>
      <c r="F24" s="10"/>
      <c r="G24" s="18" t="s">
        <v>66</v>
      </c>
      <c r="H24" s="10">
        <v>252697</v>
      </c>
      <c r="I24" s="10"/>
      <c r="J24" s="10"/>
    </row>
    <row r="25" spans="1:10" s="11" customFormat="1" ht="12.75">
      <c r="A25" s="75">
        <v>18</v>
      </c>
      <c r="B25" s="6" t="s">
        <v>67</v>
      </c>
      <c r="C25" s="17" t="s">
        <v>68</v>
      </c>
      <c r="D25" s="7" t="s">
        <v>18</v>
      </c>
      <c r="E25" s="7" t="s">
        <v>69</v>
      </c>
      <c r="F25" s="10"/>
      <c r="G25" s="18" t="s">
        <v>70</v>
      </c>
      <c r="H25" s="10">
        <v>18000</v>
      </c>
      <c r="I25" s="10"/>
      <c r="J25" s="10"/>
    </row>
    <row r="26" spans="1:10" s="11" customFormat="1" ht="24">
      <c r="A26" s="75">
        <v>19</v>
      </c>
      <c r="B26" s="6" t="s">
        <v>71</v>
      </c>
      <c r="C26" s="7" t="s">
        <v>72</v>
      </c>
      <c r="D26" s="7" t="s">
        <v>18</v>
      </c>
      <c r="E26" s="7" t="s">
        <v>73</v>
      </c>
      <c r="F26" s="10"/>
      <c r="G26" s="36" t="s">
        <v>74</v>
      </c>
      <c r="H26" s="10">
        <f>F26+228227+2981+307670+55350</f>
        <v>594228</v>
      </c>
      <c r="I26" s="10"/>
      <c r="J26" s="10"/>
    </row>
    <row r="27" spans="1:10" s="11" customFormat="1" ht="60">
      <c r="A27" s="75">
        <v>20</v>
      </c>
      <c r="B27" s="6" t="s">
        <v>75</v>
      </c>
      <c r="C27" s="7" t="s">
        <v>76</v>
      </c>
      <c r="D27" s="7" t="s">
        <v>18</v>
      </c>
      <c r="E27" s="7" t="s">
        <v>77</v>
      </c>
      <c r="F27" s="10"/>
      <c r="G27" s="18" t="s">
        <v>78</v>
      </c>
      <c r="H27" s="10">
        <f>F27+91291+271</f>
        <v>91562</v>
      </c>
      <c r="I27" s="10"/>
      <c r="J27" s="10"/>
    </row>
    <row r="28" spans="1:10" s="11" customFormat="1" ht="24">
      <c r="A28" s="75">
        <v>21</v>
      </c>
      <c r="B28" s="6" t="s">
        <v>79</v>
      </c>
      <c r="C28" s="7" t="s">
        <v>80</v>
      </c>
      <c r="D28" s="7" t="s">
        <v>18</v>
      </c>
      <c r="E28" s="7" t="s">
        <v>81</v>
      </c>
      <c r="F28" s="10">
        <v>100413</v>
      </c>
      <c r="G28" s="36" t="s">
        <v>82</v>
      </c>
      <c r="H28" s="10">
        <f>F28+46187+3000</f>
        <v>149600</v>
      </c>
      <c r="I28" s="10"/>
      <c r="J28" s="10"/>
    </row>
    <row r="29" spans="1:10" s="11" customFormat="1" ht="36">
      <c r="A29" s="75">
        <v>22</v>
      </c>
      <c r="B29" s="6" t="s">
        <v>83</v>
      </c>
      <c r="C29" s="7" t="s">
        <v>84</v>
      </c>
      <c r="D29" s="7" t="s">
        <v>18</v>
      </c>
      <c r="E29" s="7" t="s">
        <v>77</v>
      </c>
      <c r="F29" s="10"/>
      <c r="G29" s="18" t="s">
        <v>85</v>
      </c>
      <c r="H29" s="10">
        <f>46458</f>
        <v>46458</v>
      </c>
      <c r="I29" s="10"/>
      <c r="J29" s="10"/>
    </row>
    <row r="30" spans="1:10" s="11" customFormat="1" ht="24">
      <c r="A30" s="75">
        <v>23</v>
      </c>
      <c r="B30" s="6" t="s">
        <v>86</v>
      </c>
      <c r="C30" s="7" t="s">
        <v>87</v>
      </c>
      <c r="D30" s="7" t="s">
        <v>18</v>
      </c>
      <c r="E30" s="7" t="s">
        <v>73</v>
      </c>
      <c r="F30" s="10"/>
      <c r="G30" s="32" t="s">
        <v>88</v>
      </c>
      <c r="H30" s="10">
        <f>46458+12300</f>
        <v>58758</v>
      </c>
      <c r="I30" s="10"/>
      <c r="J30" s="10"/>
    </row>
    <row r="31" spans="1:10" s="11" customFormat="1" ht="12.75">
      <c r="A31" s="75">
        <v>24</v>
      </c>
      <c r="B31" s="6" t="s">
        <v>89</v>
      </c>
      <c r="C31" s="7" t="s">
        <v>90</v>
      </c>
      <c r="D31" s="7" t="s">
        <v>18</v>
      </c>
      <c r="E31" s="7" t="s">
        <v>91</v>
      </c>
      <c r="F31" s="10">
        <v>130204</v>
      </c>
      <c r="G31" s="18" t="s">
        <v>92</v>
      </c>
      <c r="H31" s="10">
        <f>F31+4500</f>
        <v>134704</v>
      </c>
      <c r="I31" s="10"/>
      <c r="J31" s="10"/>
    </row>
    <row r="32" spans="1:10" s="11" customFormat="1" ht="36">
      <c r="A32" s="75">
        <v>25</v>
      </c>
      <c r="B32" s="6" t="s">
        <v>93</v>
      </c>
      <c r="C32" s="7" t="s">
        <v>94</v>
      </c>
      <c r="D32" s="7" t="s">
        <v>18</v>
      </c>
      <c r="E32" s="7" t="s">
        <v>95</v>
      </c>
      <c r="F32" s="10">
        <v>2282228</v>
      </c>
      <c r="G32" s="78"/>
      <c r="H32" s="10">
        <f aca="true" t="shared" si="1" ref="H32:H37">F32</f>
        <v>2282228</v>
      </c>
      <c r="I32" s="10"/>
      <c r="J32" s="10"/>
    </row>
    <row r="33" spans="1:10" s="11" customFormat="1" ht="12.75">
      <c r="A33" s="75">
        <v>26</v>
      </c>
      <c r="B33" s="6" t="s">
        <v>96</v>
      </c>
      <c r="C33" s="7" t="s">
        <v>97</v>
      </c>
      <c r="D33" s="7" t="s">
        <v>18</v>
      </c>
      <c r="E33" s="7" t="s">
        <v>10</v>
      </c>
      <c r="F33" s="10">
        <v>40526</v>
      </c>
      <c r="G33" s="78"/>
      <c r="H33" s="10">
        <f t="shared" si="1"/>
        <v>40526</v>
      </c>
      <c r="I33" s="10"/>
      <c r="J33" s="10"/>
    </row>
    <row r="34" spans="1:10" s="11" customFormat="1" ht="12.75">
      <c r="A34" s="75">
        <v>27</v>
      </c>
      <c r="B34" s="13" t="s">
        <v>98</v>
      </c>
      <c r="C34" s="14" t="s">
        <v>99</v>
      </c>
      <c r="D34" s="14" t="s">
        <v>56</v>
      </c>
      <c r="E34" s="14" t="s">
        <v>10</v>
      </c>
      <c r="F34" s="15">
        <v>24323</v>
      </c>
      <c r="G34" s="16"/>
      <c r="H34" s="15">
        <f t="shared" si="1"/>
        <v>24323</v>
      </c>
      <c r="I34" s="16"/>
      <c r="J34" s="16"/>
    </row>
    <row r="35" spans="1:10" s="11" customFormat="1" ht="48">
      <c r="A35" s="75">
        <v>28</v>
      </c>
      <c r="B35" s="6" t="s">
        <v>100</v>
      </c>
      <c r="C35" s="7" t="s">
        <v>101</v>
      </c>
      <c r="D35" s="7" t="s">
        <v>18</v>
      </c>
      <c r="E35" s="7" t="s">
        <v>10</v>
      </c>
      <c r="F35" s="10">
        <v>50717</v>
      </c>
      <c r="G35" s="78"/>
      <c r="H35" s="10">
        <f t="shared" si="1"/>
        <v>50717</v>
      </c>
      <c r="I35" s="10"/>
      <c r="J35" s="10"/>
    </row>
    <row r="36" spans="1:10" s="11" customFormat="1" ht="12.75">
      <c r="A36" s="75">
        <v>29</v>
      </c>
      <c r="B36" s="6" t="s">
        <v>102</v>
      </c>
      <c r="C36" s="7" t="s">
        <v>103</v>
      </c>
      <c r="D36" s="7" t="s">
        <v>18</v>
      </c>
      <c r="E36" s="7" t="s">
        <v>10</v>
      </c>
      <c r="F36" s="10">
        <v>65424</v>
      </c>
      <c r="G36" s="78"/>
      <c r="H36" s="10">
        <f t="shared" si="1"/>
        <v>65424</v>
      </c>
      <c r="I36" s="10"/>
      <c r="J36" s="10"/>
    </row>
    <row r="37" spans="1:10" s="11" customFormat="1" ht="12.75">
      <c r="A37" s="75">
        <v>30</v>
      </c>
      <c r="B37" s="6" t="s">
        <v>104</v>
      </c>
      <c r="C37" s="7" t="s">
        <v>105</v>
      </c>
      <c r="D37" s="7" t="s">
        <v>18</v>
      </c>
      <c r="E37" s="7" t="s">
        <v>10</v>
      </c>
      <c r="F37" s="10">
        <v>252073</v>
      </c>
      <c r="G37" s="78"/>
      <c r="H37" s="10">
        <f t="shared" si="1"/>
        <v>252073</v>
      </c>
      <c r="I37" s="10"/>
      <c r="J37" s="10"/>
    </row>
    <row r="38" spans="1:10" s="11" customFormat="1" ht="12.75">
      <c r="A38" s="75">
        <v>31</v>
      </c>
      <c r="B38" s="6" t="s">
        <v>106</v>
      </c>
      <c r="C38" s="7" t="s">
        <v>107</v>
      </c>
      <c r="D38" s="7" t="s">
        <v>18</v>
      </c>
      <c r="E38" s="7" t="s">
        <v>95</v>
      </c>
      <c r="F38" s="10">
        <v>383640</v>
      </c>
      <c r="G38" s="29" t="s">
        <v>108</v>
      </c>
      <c r="H38" s="10">
        <f>F38+11503+205217</f>
        <v>600360</v>
      </c>
      <c r="I38" s="10"/>
      <c r="J38" s="10"/>
    </row>
    <row r="39" spans="1:10" s="11" customFormat="1" ht="12.75">
      <c r="A39" s="75">
        <v>32</v>
      </c>
      <c r="B39" s="6" t="s">
        <v>109</v>
      </c>
      <c r="C39" s="7" t="s">
        <v>110</v>
      </c>
      <c r="D39" s="7" t="s">
        <v>18</v>
      </c>
      <c r="E39" s="7" t="s">
        <v>10</v>
      </c>
      <c r="F39" s="10">
        <v>220758</v>
      </c>
      <c r="G39" s="29"/>
      <c r="H39" s="10">
        <f>F39</f>
        <v>220758</v>
      </c>
      <c r="I39" s="10"/>
      <c r="J39" s="10"/>
    </row>
    <row r="40" spans="1:10" s="11" customFormat="1" ht="36">
      <c r="A40" s="75">
        <v>33</v>
      </c>
      <c r="B40" s="6" t="s">
        <v>111</v>
      </c>
      <c r="C40" s="7" t="s">
        <v>112</v>
      </c>
      <c r="D40" s="7" t="s">
        <v>18</v>
      </c>
      <c r="E40" s="7" t="s">
        <v>95</v>
      </c>
      <c r="F40" s="10">
        <v>11889</v>
      </c>
      <c r="G40" s="29" t="s">
        <v>113</v>
      </c>
      <c r="H40" s="10">
        <f>F40+11503+100000</f>
        <v>123392</v>
      </c>
      <c r="I40" s="10"/>
      <c r="J40" s="10"/>
    </row>
    <row r="41" spans="1:10" s="11" customFormat="1" ht="12.75">
      <c r="A41" s="75">
        <v>34</v>
      </c>
      <c r="B41" s="6" t="s">
        <v>114</v>
      </c>
      <c r="C41" s="7" t="s">
        <v>115</v>
      </c>
      <c r="D41" s="7" t="s">
        <v>18</v>
      </c>
      <c r="E41" s="7" t="s">
        <v>10</v>
      </c>
      <c r="F41" s="10">
        <v>608667</v>
      </c>
      <c r="G41" s="78"/>
      <c r="H41" s="10">
        <f>F41</f>
        <v>608667</v>
      </c>
      <c r="I41" s="10"/>
      <c r="J41" s="10"/>
    </row>
    <row r="42" spans="1:10" s="11" customFormat="1" ht="12.75">
      <c r="A42" s="75">
        <v>35</v>
      </c>
      <c r="B42" s="6" t="s">
        <v>116</v>
      </c>
      <c r="C42" s="7" t="s">
        <v>117</v>
      </c>
      <c r="D42" s="7" t="s">
        <v>18</v>
      </c>
      <c r="E42" s="7" t="s">
        <v>10</v>
      </c>
      <c r="F42" s="10">
        <v>392637</v>
      </c>
      <c r="G42" s="78"/>
      <c r="H42" s="10">
        <f>F42</f>
        <v>392637</v>
      </c>
      <c r="I42" s="10"/>
      <c r="J42" s="10"/>
    </row>
    <row r="43" spans="1:10" s="11" customFormat="1" ht="12.75">
      <c r="A43" s="75">
        <v>36</v>
      </c>
      <c r="B43" s="6" t="s">
        <v>118</v>
      </c>
      <c r="C43" s="7" t="s">
        <v>119</v>
      </c>
      <c r="D43" s="7" t="s">
        <v>18</v>
      </c>
      <c r="E43" s="7" t="s">
        <v>10</v>
      </c>
      <c r="F43" s="10">
        <v>160098</v>
      </c>
      <c r="G43" s="78"/>
      <c r="H43" s="10">
        <f>F43</f>
        <v>160098</v>
      </c>
      <c r="I43" s="10"/>
      <c r="J43" s="10"/>
    </row>
    <row r="44" spans="1:10" s="11" customFormat="1" ht="12.75">
      <c r="A44" s="75">
        <v>37</v>
      </c>
      <c r="B44" s="6" t="s">
        <v>120</v>
      </c>
      <c r="C44" s="7" t="s">
        <v>121</v>
      </c>
      <c r="D44" s="7" t="s">
        <v>18</v>
      </c>
      <c r="E44" s="7" t="s">
        <v>10</v>
      </c>
      <c r="F44" s="10">
        <v>191713</v>
      </c>
      <c r="G44" s="78"/>
      <c r="H44" s="10">
        <f>F44</f>
        <v>191713</v>
      </c>
      <c r="I44" s="10"/>
      <c r="J44" s="10"/>
    </row>
    <row r="45" spans="1:10" s="11" customFormat="1" ht="24">
      <c r="A45" s="75">
        <v>38</v>
      </c>
      <c r="B45" s="6" t="s">
        <v>122</v>
      </c>
      <c r="C45" s="7" t="s">
        <v>123</v>
      </c>
      <c r="D45" s="7" t="s">
        <v>18</v>
      </c>
      <c r="E45" s="7" t="s">
        <v>10</v>
      </c>
      <c r="F45" s="10">
        <v>73791</v>
      </c>
      <c r="G45" s="78"/>
      <c r="H45" s="10">
        <f>F45</f>
        <v>73791</v>
      </c>
      <c r="I45" s="10"/>
      <c r="J45" s="10"/>
    </row>
    <row r="46" spans="1:11" s="11" customFormat="1" ht="12.75">
      <c r="A46" s="75">
        <v>39</v>
      </c>
      <c r="B46" s="6" t="s">
        <v>124</v>
      </c>
      <c r="C46" s="7" t="s">
        <v>125</v>
      </c>
      <c r="D46" s="7" t="s">
        <v>18</v>
      </c>
      <c r="E46" s="7" t="s">
        <v>126</v>
      </c>
      <c r="F46" s="10">
        <v>2053670</v>
      </c>
      <c r="G46" s="78" t="s">
        <v>127</v>
      </c>
      <c r="H46" s="10">
        <f>F46+3964+3149</f>
        <v>2060783</v>
      </c>
      <c r="I46" s="10"/>
      <c r="J46" s="10"/>
      <c r="K46" s="19"/>
    </row>
    <row r="47" spans="1:10" s="11" customFormat="1" ht="36">
      <c r="A47" s="75">
        <v>40</v>
      </c>
      <c r="B47" s="6" t="s">
        <v>128</v>
      </c>
      <c r="C47" s="7" t="s">
        <v>129</v>
      </c>
      <c r="D47" s="7" t="s">
        <v>18</v>
      </c>
      <c r="E47" s="7" t="s">
        <v>10</v>
      </c>
      <c r="F47" s="10">
        <v>155368</v>
      </c>
      <c r="G47" s="78"/>
      <c r="H47" s="10">
        <f aca="true" t="shared" si="2" ref="H47:H56">F47</f>
        <v>155368</v>
      </c>
      <c r="I47" s="10"/>
      <c r="J47" s="10"/>
    </row>
    <row r="48" spans="1:10" s="11" customFormat="1" ht="12.75">
      <c r="A48" s="75">
        <v>41</v>
      </c>
      <c r="B48" s="6" t="s">
        <v>130</v>
      </c>
      <c r="C48" s="7" t="s">
        <v>131</v>
      </c>
      <c r="D48" s="7" t="s">
        <v>18</v>
      </c>
      <c r="E48" s="7" t="s">
        <v>10</v>
      </c>
      <c r="F48" s="10">
        <v>83611</v>
      </c>
      <c r="G48" s="78"/>
      <c r="H48" s="10">
        <f t="shared" si="2"/>
        <v>83611</v>
      </c>
      <c r="I48" s="10"/>
      <c r="J48" s="10"/>
    </row>
    <row r="49" spans="1:10" s="11" customFormat="1" ht="24">
      <c r="A49" s="75">
        <v>42</v>
      </c>
      <c r="B49" s="13" t="s">
        <v>132</v>
      </c>
      <c r="C49" s="14" t="s">
        <v>133</v>
      </c>
      <c r="D49" s="14" t="s">
        <v>134</v>
      </c>
      <c r="E49" s="14" t="s">
        <v>10</v>
      </c>
      <c r="F49" s="15">
        <v>4995529</v>
      </c>
      <c r="G49" s="16"/>
      <c r="H49" s="15">
        <f t="shared" si="2"/>
        <v>4995529</v>
      </c>
      <c r="I49" s="16"/>
      <c r="J49" s="16"/>
    </row>
    <row r="50" spans="1:10" s="11" customFormat="1" ht="12.75">
      <c r="A50" s="75">
        <v>43</v>
      </c>
      <c r="B50" s="6" t="s">
        <v>135</v>
      </c>
      <c r="C50" s="7" t="s">
        <v>136</v>
      </c>
      <c r="D50" s="7" t="s">
        <v>18</v>
      </c>
      <c r="E50" s="7" t="s">
        <v>10</v>
      </c>
      <c r="F50" s="10">
        <v>103978</v>
      </c>
      <c r="G50" s="78"/>
      <c r="H50" s="10">
        <f t="shared" si="2"/>
        <v>103978</v>
      </c>
      <c r="I50" s="10"/>
      <c r="J50" s="10"/>
    </row>
    <row r="51" spans="1:10" s="11" customFormat="1" ht="12.75">
      <c r="A51" s="75">
        <v>44</v>
      </c>
      <c r="B51" s="6" t="s">
        <v>137</v>
      </c>
      <c r="C51" s="7" t="s">
        <v>138</v>
      </c>
      <c r="D51" s="7" t="s">
        <v>18</v>
      </c>
      <c r="E51" s="7" t="s">
        <v>10</v>
      </c>
      <c r="F51" s="10">
        <v>19840</v>
      </c>
      <c r="G51" s="78"/>
      <c r="H51" s="10">
        <f t="shared" si="2"/>
        <v>19840</v>
      </c>
      <c r="I51" s="10"/>
      <c r="J51" s="10"/>
    </row>
    <row r="52" spans="1:10" s="11" customFormat="1" ht="12.75">
      <c r="A52" s="75">
        <v>45</v>
      </c>
      <c r="B52" s="6" t="s">
        <v>139</v>
      </c>
      <c r="C52" s="7" t="s">
        <v>140</v>
      </c>
      <c r="D52" s="7" t="s">
        <v>18</v>
      </c>
      <c r="E52" s="7" t="s">
        <v>10</v>
      </c>
      <c r="F52" s="10">
        <v>61201</v>
      </c>
      <c r="G52" s="78"/>
      <c r="H52" s="10">
        <f t="shared" si="2"/>
        <v>61201</v>
      </c>
      <c r="I52" s="10"/>
      <c r="J52" s="10"/>
    </row>
    <row r="53" spans="1:10" s="11" customFormat="1" ht="24">
      <c r="A53" s="75">
        <v>46</v>
      </c>
      <c r="B53" s="6" t="s">
        <v>141</v>
      </c>
      <c r="C53" s="7" t="s">
        <v>142</v>
      </c>
      <c r="D53" s="7" t="s">
        <v>18</v>
      </c>
      <c r="E53" s="7" t="s">
        <v>10</v>
      </c>
      <c r="F53" s="10">
        <v>22045</v>
      </c>
      <c r="G53" s="78"/>
      <c r="H53" s="10">
        <f t="shared" si="2"/>
        <v>22045</v>
      </c>
      <c r="I53" s="10"/>
      <c r="J53" s="10"/>
    </row>
    <row r="54" spans="1:10" s="11" customFormat="1" ht="24">
      <c r="A54" s="75">
        <v>47</v>
      </c>
      <c r="B54" s="6" t="s">
        <v>143</v>
      </c>
      <c r="C54" s="7" t="s">
        <v>144</v>
      </c>
      <c r="D54" s="7" t="s">
        <v>18</v>
      </c>
      <c r="E54" s="7" t="s">
        <v>10</v>
      </c>
      <c r="F54" s="10">
        <v>17824357</v>
      </c>
      <c r="G54" s="78"/>
      <c r="H54" s="10">
        <f t="shared" si="2"/>
        <v>17824357</v>
      </c>
      <c r="I54" s="10"/>
      <c r="J54" s="10"/>
    </row>
    <row r="55" spans="1:10" s="11" customFormat="1" ht="12.75">
      <c r="A55" s="75">
        <v>48</v>
      </c>
      <c r="B55" s="6" t="s">
        <v>145</v>
      </c>
      <c r="C55" s="7" t="s">
        <v>146</v>
      </c>
      <c r="D55" s="7" t="s">
        <v>18</v>
      </c>
      <c r="E55" s="7" t="s">
        <v>10</v>
      </c>
      <c r="F55" s="10">
        <v>1962147</v>
      </c>
      <c r="G55" s="78"/>
      <c r="H55" s="10">
        <f t="shared" si="2"/>
        <v>1962147</v>
      </c>
      <c r="I55" s="10"/>
      <c r="J55" s="10"/>
    </row>
    <row r="56" spans="1:10" s="11" customFormat="1" ht="24">
      <c r="A56" s="75">
        <v>49</v>
      </c>
      <c r="B56" s="6" t="s">
        <v>147</v>
      </c>
      <c r="C56" s="7" t="s">
        <v>148</v>
      </c>
      <c r="D56" s="7" t="s">
        <v>18</v>
      </c>
      <c r="E56" s="7" t="s">
        <v>149</v>
      </c>
      <c r="F56" s="10">
        <v>30500</v>
      </c>
      <c r="G56" s="78"/>
      <c r="H56" s="10">
        <f t="shared" si="2"/>
        <v>30500</v>
      </c>
      <c r="I56" s="10"/>
      <c r="J56" s="10"/>
    </row>
    <row r="57" spans="1:10" s="11" customFormat="1" ht="24">
      <c r="A57" s="75">
        <v>50</v>
      </c>
      <c r="B57" s="6" t="s">
        <v>150</v>
      </c>
      <c r="C57" s="7" t="s">
        <v>151</v>
      </c>
      <c r="D57" s="7" t="s">
        <v>18</v>
      </c>
      <c r="E57" s="7" t="s">
        <v>152</v>
      </c>
      <c r="F57" s="10">
        <v>283875</v>
      </c>
      <c r="G57" s="36" t="s">
        <v>153</v>
      </c>
      <c r="H57" s="10">
        <f>F57+226400+6150</f>
        <v>516425</v>
      </c>
      <c r="I57" s="10">
        <v>250000</v>
      </c>
      <c r="J57" s="10"/>
    </row>
    <row r="58" spans="1:10" s="11" customFormat="1" ht="12.75">
      <c r="A58" s="75">
        <v>51</v>
      </c>
      <c r="B58" s="6" t="s">
        <v>154</v>
      </c>
      <c r="C58" s="7" t="s">
        <v>155</v>
      </c>
      <c r="D58" s="7" t="s">
        <v>18</v>
      </c>
      <c r="E58" s="7" t="s">
        <v>10</v>
      </c>
      <c r="F58" s="10">
        <v>1762102</v>
      </c>
      <c r="G58" s="78"/>
      <c r="H58" s="10">
        <f>F58</f>
        <v>1762102</v>
      </c>
      <c r="I58" s="10"/>
      <c r="J58" s="10"/>
    </row>
    <row r="59" spans="1:10" s="11" customFormat="1" ht="12.75">
      <c r="A59" s="75">
        <v>52</v>
      </c>
      <c r="B59" s="6" t="s">
        <v>156</v>
      </c>
      <c r="C59" s="7" t="s">
        <v>157</v>
      </c>
      <c r="D59" s="7" t="s">
        <v>18</v>
      </c>
      <c r="E59" s="7" t="s">
        <v>10</v>
      </c>
      <c r="F59" s="10">
        <v>566794</v>
      </c>
      <c r="G59" s="79"/>
      <c r="H59" s="10">
        <f>F59</f>
        <v>566794</v>
      </c>
      <c r="I59" s="10"/>
      <c r="J59" s="10"/>
    </row>
    <row r="60" spans="1:10" s="11" customFormat="1" ht="12.75">
      <c r="A60" s="75">
        <v>53</v>
      </c>
      <c r="B60" s="6" t="s">
        <v>158</v>
      </c>
      <c r="C60" s="7" t="s">
        <v>159</v>
      </c>
      <c r="D60" s="7" t="s">
        <v>18</v>
      </c>
      <c r="E60" s="7" t="s">
        <v>10</v>
      </c>
      <c r="F60" s="10">
        <v>1713011</v>
      </c>
      <c r="G60" s="80"/>
      <c r="H60" s="10">
        <f>F60</f>
        <v>1713011</v>
      </c>
      <c r="I60" s="10"/>
      <c r="J60" s="10"/>
    </row>
    <row r="61" spans="1:10" s="11" customFormat="1" ht="24">
      <c r="A61" s="75">
        <v>54</v>
      </c>
      <c r="B61" s="6" t="s">
        <v>160</v>
      </c>
      <c r="C61" s="7" t="s">
        <v>161</v>
      </c>
      <c r="D61" s="7" t="s">
        <v>18</v>
      </c>
      <c r="E61" s="7" t="s">
        <v>10</v>
      </c>
      <c r="F61" s="10">
        <v>52996</v>
      </c>
      <c r="G61" s="78"/>
      <c r="H61" s="10">
        <f>F61</f>
        <v>52996</v>
      </c>
      <c r="I61" s="10"/>
      <c r="J61" s="10"/>
    </row>
    <row r="62" spans="1:10" s="11" customFormat="1" ht="12.75">
      <c r="A62" s="75">
        <v>55</v>
      </c>
      <c r="B62" s="6" t="s">
        <v>162</v>
      </c>
      <c r="C62" s="7" t="s">
        <v>163</v>
      </c>
      <c r="D62" s="7" t="s">
        <v>18</v>
      </c>
      <c r="E62" s="7" t="s">
        <v>10</v>
      </c>
      <c r="F62" s="10">
        <v>565148</v>
      </c>
      <c r="G62" s="78"/>
      <c r="H62" s="10">
        <f>F62</f>
        <v>565148</v>
      </c>
      <c r="I62" s="10"/>
      <c r="J62" s="10"/>
    </row>
    <row r="63" spans="1:10" s="11" customFormat="1" ht="12.75">
      <c r="A63" s="75">
        <v>56</v>
      </c>
      <c r="B63" s="6" t="s">
        <v>164</v>
      </c>
      <c r="C63" s="7" t="s">
        <v>165</v>
      </c>
      <c r="D63" s="7" t="s">
        <v>18</v>
      </c>
      <c r="E63" s="7" t="s">
        <v>152</v>
      </c>
      <c r="F63" s="10">
        <v>18282</v>
      </c>
      <c r="G63" s="29" t="s">
        <v>166</v>
      </c>
      <c r="H63" s="10">
        <f>F63+5520+50420</f>
        <v>74222</v>
      </c>
      <c r="I63" s="10"/>
      <c r="J63" s="10"/>
    </row>
    <row r="64" spans="1:10" s="11" customFormat="1" ht="24">
      <c r="A64" s="75">
        <v>57</v>
      </c>
      <c r="B64" s="13" t="s">
        <v>167</v>
      </c>
      <c r="C64" s="14" t="s">
        <v>168</v>
      </c>
      <c r="D64" s="14" t="s">
        <v>56</v>
      </c>
      <c r="E64" s="14" t="s">
        <v>10</v>
      </c>
      <c r="F64" s="15">
        <v>691300</v>
      </c>
      <c r="G64" s="16"/>
      <c r="H64" s="15">
        <f aca="true" t="shared" si="3" ref="H64:H73">F64</f>
        <v>691300</v>
      </c>
      <c r="I64" s="16"/>
      <c r="J64" s="16"/>
    </row>
    <row r="65" spans="1:10" s="11" customFormat="1" ht="12.75">
      <c r="A65" s="75">
        <v>58</v>
      </c>
      <c r="B65" s="6" t="s">
        <v>169</v>
      </c>
      <c r="C65" s="7" t="s">
        <v>170</v>
      </c>
      <c r="D65" s="7" t="s">
        <v>18</v>
      </c>
      <c r="E65" s="7" t="s">
        <v>10</v>
      </c>
      <c r="F65" s="10">
        <v>19500</v>
      </c>
      <c r="G65" s="78"/>
      <c r="H65" s="10">
        <f t="shared" si="3"/>
        <v>19500</v>
      </c>
      <c r="I65" s="10"/>
      <c r="J65" s="10"/>
    </row>
    <row r="66" spans="1:10" s="11" customFormat="1" ht="12.75">
      <c r="A66" s="75">
        <v>59</v>
      </c>
      <c r="B66" s="6" t="s">
        <v>171</v>
      </c>
      <c r="C66" s="7" t="s">
        <v>172</v>
      </c>
      <c r="D66" s="7" t="s">
        <v>18</v>
      </c>
      <c r="E66" s="7" t="s">
        <v>10</v>
      </c>
      <c r="F66" s="10">
        <v>1501491</v>
      </c>
      <c r="G66" s="78"/>
      <c r="H66" s="10">
        <f t="shared" si="3"/>
        <v>1501491</v>
      </c>
      <c r="I66" s="10"/>
      <c r="J66" s="10"/>
    </row>
    <row r="67" spans="1:10" s="11" customFormat="1" ht="12.75">
      <c r="A67" s="75">
        <v>60</v>
      </c>
      <c r="B67" s="13" t="s">
        <v>173</v>
      </c>
      <c r="C67" s="14" t="s">
        <v>174</v>
      </c>
      <c r="D67" s="14" t="s">
        <v>56</v>
      </c>
      <c r="E67" s="14" t="s">
        <v>10</v>
      </c>
      <c r="F67" s="15">
        <v>258323</v>
      </c>
      <c r="G67" s="16"/>
      <c r="H67" s="15">
        <f t="shared" si="3"/>
        <v>258323</v>
      </c>
      <c r="I67" s="16"/>
      <c r="J67" s="16"/>
    </row>
    <row r="68" spans="1:10" s="11" customFormat="1" ht="24">
      <c r="A68" s="75">
        <v>61</v>
      </c>
      <c r="B68" s="6" t="s">
        <v>175</v>
      </c>
      <c r="C68" s="7" t="s">
        <v>176</v>
      </c>
      <c r="D68" s="7" t="s">
        <v>18</v>
      </c>
      <c r="E68" s="7" t="s">
        <v>10</v>
      </c>
      <c r="F68" s="10">
        <v>62984</v>
      </c>
      <c r="G68" s="78"/>
      <c r="H68" s="10">
        <f t="shared" si="3"/>
        <v>62984</v>
      </c>
      <c r="I68" s="10"/>
      <c r="J68" s="10"/>
    </row>
    <row r="69" spans="1:10" s="11" customFormat="1" ht="12.75">
      <c r="A69" s="75">
        <v>62</v>
      </c>
      <c r="B69" s="6" t="s">
        <v>177</v>
      </c>
      <c r="C69" s="7" t="s">
        <v>178</v>
      </c>
      <c r="D69" s="7" t="s">
        <v>18</v>
      </c>
      <c r="E69" s="7" t="s">
        <v>10</v>
      </c>
      <c r="F69" s="10">
        <v>62265</v>
      </c>
      <c r="G69" s="78"/>
      <c r="H69" s="10">
        <f t="shared" si="3"/>
        <v>62265</v>
      </c>
      <c r="I69" s="10"/>
      <c r="J69" s="10"/>
    </row>
    <row r="70" spans="1:10" s="11" customFormat="1" ht="24">
      <c r="A70" s="75">
        <v>63</v>
      </c>
      <c r="B70" s="13" t="s">
        <v>179</v>
      </c>
      <c r="C70" s="14" t="s">
        <v>180</v>
      </c>
      <c r="D70" s="14" t="s">
        <v>181</v>
      </c>
      <c r="E70" s="14" t="s">
        <v>182</v>
      </c>
      <c r="F70" s="15"/>
      <c r="G70" s="20" t="s">
        <v>183</v>
      </c>
      <c r="H70" s="15">
        <v>160000</v>
      </c>
      <c r="I70" s="16"/>
      <c r="J70" s="16"/>
    </row>
    <row r="71" spans="1:10" s="11" customFormat="1" ht="12.75">
      <c r="A71" s="75">
        <v>64</v>
      </c>
      <c r="B71" s="13" t="s">
        <v>184</v>
      </c>
      <c r="C71" s="14" t="s">
        <v>185</v>
      </c>
      <c r="D71" s="14" t="s">
        <v>56</v>
      </c>
      <c r="E71" s="14" t="s">
        <v>10</v>
      </c>
      <c r="F71" s="15">
        <v>76776</v>
      </c>
      <c r="G71" s="16"/>
      <c r="H71" s="15">
        <f t="shared" si="3"/>
        <v>76776</v>
      </c>
      <c r="I71" s="16"/>
      <c r="J71" s="16"/>
    </row>
    <row r="72" spans="1:10" s="11" customFormat="1" ht="12.75">
      <c r="A72" s="75">
        <v>65</v>
      </c>
      <c r="B72" s="6" t="s">
        <v>186</v>
      </c>
      <c r="C72" s="7" t="s">
        <v>187</v>
      </c>
      <c r="D72" s="7" t="s">
        <v>18</v>
      </c>
      <c r="E72" s="7" t="s">
        <v>10</v>
      </c>
      <c r="F72" s="10">
        <v>32299622</v>
      </c>
      <c r="G72" s="78"/>
      <c r="H72" s="10">
        <f t="shared" si="3"/>
        <v>32299622</v>
      </c>
      <c r="I72" s="10"/>
      <c r="J72" s="10"/>
    </row>
    <row r="73" spans="1:11" s="11" customFormat="1" ht="24">
      <c r="A73" s="75">
        <v>66</v>
      </c>
      <c r="B73" s="6" t="s">
        <v>188</v>
      </c>
      <c r="C73" s="7" t="s">
        <v>189</v>
      </c>
      <c r="D73" s="7" t="s">
        <v>18</v>
      </c>
      <c r="E73" s="7" t="s">
        <v>10</v>
      </c>
      <c r="F73" s="10">
        <v>1988601</v>
      </c>
      <c r="G73" s="77"/>
      <c r="H73" s="10">
        <f t="shared" si="3"/>
        <v>1988601</v>
      </c>
      <c r="I73" s="21"/>
      <c r="J73" s="21"/>
      <c r="K73" s="22"/>
    </row>
    <row r="74" spans="1:10" s="11" customFormat="1" ht="12.75">
      <c r="A74" s="75">
        <v>67</v>
      </c>
      <c r="B74" s="6" t="s">
        <v>190</v>
      </c>
      <c r="C74" s="23" t="s">
        <v>191</v>
      </c>
      <c r="D74" s="7" t="s">
        <v>18</v>
      </c>
      <c r="E74" s="7" t="s">
        <v>152</v>
      </c>
      <c r="F74" s="10">
        <v>156010</v>
      </c>
      <c r="G74" s="18" t="s">
        <v>192</v>
      </c>
      <c r="H74" s="10">
        <f>F74+3771397</f>
        <v>3927407</v>
      </c>
      <c r="I74" s="10"/>
      <c r="J74" s="10"/>
    </row>
    <row r="75" spans="1:10" s="11" customFormat="1" ht="24">
      <c r="A75" s="75">
        <v>68</v>
      </c>
      <c r="B75" s="6" t="s">
        <v>193</v>
      </c>
      <c r="C75" s="7" t="s">
        <v>194</v>
      </c>
      <c r="D75" s="7" t="s">
        <v>18</v>
      </c>
      <c r="E75" s="7" t="s">
        <v>10</v>
      </c>
      <c r="F75" s="10">
        <v>5300622</v>
      </c>
      <c r="G75" s="78"/>
      <c r="H75" s="10">
        <f aca="true" t="shared" si="4" ref="H75:H83">F75</f>
        <v>5300622</v>
      </c>
      <c r="I75" s="10"/>
      <c r="J75" s="10"/>
    </row>
    <row r="76" spans="1:10" s="11" customFormat="1" ht="24">
      <c r="A76" s="75">
        <v>69</v>
      </c>
      <c r="B76" s="6" t="s">
        <v>195</v>
      </c>
      <c r="C76" s="7" t="s">
        <v>196</v>
      </c>
      <c r="D76" s="7" t="s">
        <v>18</v>
      </c>
      <c r="E76" s="7" t="s">
        <v>197</v>
      </c>
      <c r="F76" s="10"/>
      <c r="G76" s="18" t="s">
        <v>198</v>
      </c>
      <c r="H76" s="10">
        <f t="shared" si="4"/>
        <v>0</v>
      </c>
      <c r="I76" s="10"/>
      <c r="J76" s="10">
        <v>48000</v>
      </c>
    </row>
    <row r="77" spans="1:10" s="11" customFormat="1" ht="12.75">
      <c r="A77" s="75">
        <v>70</v>
      </c>
      <c r="B77" s="6" t="s">
        <v>199</v>
      </c>
      <c r="C77" s="7" t="s">
        <v>200</v>
      </c>
      <c r="D77" s="7" t="s">
        <v>18</v>
      </c>
      <c r="E77" s="7" t="s">
        <v>10</v>
      </c>
      <c r="F77" s="8">
        <v>303383</v>
      </c>
      <c r="G77" s="10"/>
      <c r="H77" s="10">
        <f t="shared" si="4"/>
        <v>303383</v>
      </c>
      <c r="I77" s="10"/>
      <c r="J77" s="10"/>
    </row>
    <row r="78" spans="1:10" s="11" customFormat="1" ht="24">
      <c r="A78" s="75">
        <v>71</v>
      </c>
      <c r="B78" s="6" t="s">
        <v>201</v>
      </c>
      <c r="C78" s="7" t="s">
        <v>202</v>
      </c>
      <c r="D78" s="7" t="s">
        <v>18</v>
      </c>
      <c r="E78" s="7" t="s">
        <v>10</v>
      </c>
      <c r="F78" s="8">
        <v>117261</v>
      </c>
      <c r="G78" s="78"/>
      <c r="H78" s="10">
        <f t="shared" si="4"/>
        <v>117261</v>
      </c>
      <c r="I78" s="10"/>
      <c r="J78" s="10"/>
    </row>
    <row r="79" spans="1:10" s="11" customFormat="1" ht="24">
      <c r="A79" s="75">
        <v>72</v>
      </c>
      <c r="B79" s="24" t="s">
        <v>203</v>
      </c>
      <c r="C79" s="25" t="s">
        <v>204</v>
      </c>
      <c r="D79" s="25" t="s">
        <v>205</v>
      </c>
      <c r="E79" s="25" t="s">
        <v>10</v>
      </c>
      <c r="F79" s="26">
        <v>536391</v>
      </c>
      <c r="G79" s="28"/>
      <c r="H79" s="27">
        <f t="shared" si="4"/>
        <v>536391</v>
      </c>
      <c r="I79" s="28"/>
      <c r="J79" s="28"/>
    </row>
    <row r="80" spans="1:10" s="11" customFormat="1" ht="12.75">
      <c r="A80" s="75">
        <v>73</v>
      </c>
      <c r="B80" s="6" t="s">
        <v>206</v>
      </c>
      <c r="C80" s="7" t="s">
        <v>207</v>
      </c>
      <c r="D80" s="7" t="s">
        <v>18</v>
      </c>
      <c r="E80" s="7" t="s">
        <v>10</v>
      </c>
      <c r="F80" s="10">
        <v>418181</v>
      </c>
      <c r="G80" s="78"/>
      <c r="H80" s="10">
        <f t="shared" si="4"/>
        <v>418181</v>
      </c>
      <c r="I80" s="10"/>
      <c r="J80" s="10"/>
    </row>
    <row r="81" spans="1:10" s="11" customFormat="1" ht="12.75">
      <c r="A81" s="75">
        <v>74</v>
      </c>
      <c r="B81" s="6" t="s">
        <v>208</v>
      </c>
      <c r="C81" s="7" t="s">
        <v>209</v>
      </c>
      <c r="D81" s="7" t="s">
        <v>18</v>
      </c>
      <c r="E81" s="7" t="s">
        <v>210</v>
      </c>
      <c r="F81" s="10">
        <v>417454</v>
      </c>
      <c r="G81" s="78"/>
      <c r="H81" s="10">
        <f t="shared" si="4"/>
        <v>417454</v>
      </c>
      <c r="I81" s="10"/>
      <c r="J81" s="10"/>
    </row>
    <row r="82" spans="1:10" s="11" customFormat="1" ht="36">
      <c r="A82" s="75">
        <v>75</v>
      </c>
      <c r="B82" s="6" t="s">
        <v>211</v>
      </c>
      <c r="C82" s="7" t="s">
        <v>212</v>
      </c>
      <c r="D82" s="7" t="s">
        <v>18</v>
      </c>
      <c r="E82" s="7" t="s">
        <v>10</v>
      </c>
      <c r="F82" s="10">
        <v>355065</v>
      </c>
      <c r="G82" s="78"/>
      <c r="H82" s="10">
        <f t="shared" si="4"/>
        <v>355065</v>
      </c>
      <c r="I82" s="10"/>
      <c r="J82" s="10"/>
    </row>
    <row r="83" spans="1:10" s="11" customFormat="1" ht="24">
      <c r="A83" s="75">
        <v>76</v>
      </c>
      <c r="B83" s="6" t="s">
        <v>213</v>
      </c>
      <c r="C83" s="7" t="s">
        <v>214</v>
      </c>
      <c r="D83" s="7" t="s">
        <v>18</v>
      </c>
      <c r="E83" s="7" t="s">
        <v>197</v>
      </c>
      <c r="G83" s="18" t="s">
        <v>215</v>
      </c>
      <c r="H83" s="10">
        <f t="shared" si="4"/>
        <v>0</v>
      </c>
      <c r="I83" s="10"/>
      <c r="J83" s="10">
        <f>653000+76000</f>
        <v>729000</v>
      </c>
    </row>
    <row r="84" spans="1:10" s="11" customFormat="1" ht="12.75">
      <c r="A84" s="75">
        <v>77</v>
      </c>
      <c r="B84" s="6" t="s">
        <v>216</v>
      </c>
      <c r="C84" s="7" t="s">
        <v>217</v>
      </c>
      <c r="D84" s="7" t="s">
        <v>18</v>
      </c>
      <c r="E84" s="7" t="s">
        <v>10</v>
      </c>
      <c r="F84" s="10">
        <v>243269</v>
      </c>
      <c r="G84" s="78"/>
      <c r="H84" s="10">
        <f>F84</f>
        <v>243269</v>
      </c>
      <c r="I84" s="10"/>
      <c r="J84" s="10"/>
    </row>
    <row r="85" spans="1:10" s="11" customFormat="1" ht="24">
      <c r="A85" s="75">
        <v>78</v>
      </c>
      <c r="B85" s="6" t="s">
        <v>218</v>
      </c>
      <c r="C85" s="7" t="s">
        <v>219</v>
      </c>
      <c r="D85" s="7" t="s">
        <v>18</v>
      </c>
      <c r="E85" s="7" t="s">
        <v>220</v>
      </c>
      <c r="F85" s="10">
        <v>162687</v>
      </c>
      <c r="G85" s="29" t="s">
        <v>221</v>
      </c>
      <c r="H85" s="10">
        <f>F85+1867803</f>
        <v>2030490</v>
      </c>
      <c r="I85" s="10"/>
      <c r="J85" s="10"/>
    </row>
    <row r="86" spans="1:10" s="11" customFormat="1" ht="12.75">
      <c r="A86" s="75">
        <v>79</v>
      </c>
      <c r="B86" s="6" t="s">
        <v>222</v>
      </c>
      <c r="C86" s="7" t="s">
        <v>223</v>
      </c>
      <c r="D86" s="7" t="s">
        <v>18</v>
      </c>
      <c r="E86" s="7" t="s">
        <v>220</v>
      </c>
      <c r="F86" s="10">
        <v>120345</v>
      </c>
      <c r="G86" s="29" t="s">
        <v>224</v>
      </c>
      <c r="H86" s="10">
        <f>F86+307385</f>
        <v>427730</v>
      </c>
      <c r="I86" s="10"/>
      <c r="J86" s="10"/>
    </row>
    <row r="87" spans="1:10" s="11" customFormat="1" ht="12.75">
      <c r="A87" s="75">
        <v>80</v>
      </c>
      <c r="B87" s="6" t="s">
        <v>225</v>
      </c>
      <c r="C87" s="7" t="s">
        <v>226</v>
      </c>
      <c r="D87" s="7" t="s">
        <v>18</v>
      </c>
      <c r="E87" s="7" t="s">
        <v>227</v>
      </c>
      <c r="F87" s="10">
        <v>262040</v>
      </c>
      <c r="G87" s="29" t="s">
        <v>228</v>
      </c>
      <c r="H87" s="10">
        <f>F87+78000</f>
        <v>340040</v>
      </c>
      <c r="I87" s="10"/>
      <c r="J87" s="10"/>
    </row>
    <row r="88" spans="1:10" s="11" customFormat="1" ht="24">
      <c r="A88" s="75">
        <v>81</v>
      </c>
      <c r="B88" s="13" t="s">
        <v>229</v>
      </c>
      <c r="C88" s="14" t="s">
        <v>230</v>
      </c>
      <c r="D88" s="14" t="s">
        <v>56</v>
      </c>
      <c r="E88" s="14" t="s">
        <v>10</v>
      </c>
      <c r="F88" s="15">
        <v>8991</v>
      </c>
      <c r="G88" s="16"/>
      <c r="H88" s="15">
        <f>F88</f>
        <v>8991</v>
      </c>
      <c r="I88" s="16"/>
      <c r="J88" s="16"/>
    </row>
    <row r="89" spans="1:10" s="11" customFormat="1" ht="12.75">
      <c r="A89" s="75">
        <v>82</v>
      </c>
      <c r="B89" s="6" t="s">
        <v>231</v>
      </c>
      <c r="C89" s="7" t="s">
        <v>232</v>
      </c>
      <c r="D89" s="7" t="s">
        <v>18</v>
      </c>
      <c r="E89" s="7" t="s">
        <v>10</v>
      </c>
      <c r="F89" s="10">
        <v>697588</v>
      </c>
      <c r="G89" s="78"/>
      <c r="H89" s="10">
        <f>F89</f>
        <v>697588</v>
      </c>
      <c r="I89" s="10"/>
      <c r="J89" s="10"/>
    </row>
    <row r="90" spans="1:10" s="11" customFormat="1" ht="12.75">
      <c r="A90" s="75">
        <v>83</v>
      </c>
      <c r="B90" s="6" t="s">
        <v>233</v>
      </c>
      <c r="C90" s="7" t="s">
        <v>234</v>
      </c>
      <c r="D90" s="7" t="s">
        <v>18</v>
      </c>
      <c r="E90" s="7" t="s">
        <v>235</v>
      </c>
      <c r="F90" s="10">
        <v>126380</v>
      </c>
      <c r="G90" s="29" t="s">
        <v>236</v>
      </c>
      <c r="H90" s="10">
        <f>F90+1968</f>
        <v>128348</v>
      </c>
      <c r="I90" s="10"/>
      <c r="J90" s="10"/>
    </row>
    <row r="91" spans="1:10" s="11" customFormat="1" ht="12.75">
      <c r="A91" s="75">
        <v>84</v>
      </c>
      <c r="B91" s="6" t="s">
        <v>237</v>
      </c>
      <c r="C91" s="7" t="s">
        <v>238</v>
      </c>
      <c r="D91" s="7" t="s">
        <v>18</v>
      </c>
      <c r="E91" s="7" t="s">
        <v>10</v>
      </c>
      <c r="F91" s="10">
        <v>13045</v>
      </c>
      <c r="G91" s="29"/>
      <c r="H91" s="10">
        <f>F91</f>
        <v>13045</v>
      </c>
      <c r="I91" s="10"/>
      <c r="J91" s="10"/>
    </row>
    <row r="92" spans="1:10" s="11" customFormat="1" ht="12.75">
      <c r="A92" s="75">
        <v>85</v>
      </c>
      <c r="B92" s="6" t="s">
        <v>239</v>
      </c>
      <c r="C92" s="7" t="s">
        <v>240</v>
      </c>
      <c r="D92" s="7" t="s">
        <v>18</v>
      </c>
      <c r="E92" s="7" t="s">
        <v>241</v>
      </c>
      <c r="F92" s="10"/>
      <c r="G92" s="29" t="s">
        <v>242</v>
      </c>
      <c r="H92" s="10">
        <f>F92+2625</f>
        <v>2625</v>
      </c>
      <c r="I92" s="10"/>
      <c r="J92" s="10"/>
    </row>
    <row r="93" spans="1:19" ht="24">
      <c r="A93" s="75">
        <v>86</v>
      </c>
      <c r="B93" s="6" t="s">
        <v>243</v>
      </c>
      <c r="C93" s="7" t="s">
        <v>244</v>
      </c>
      <c r="D93" s="7" t="s">
        <v>18</v>
      </c>
      <c r="E93" s="7" t="s">
        <v>10</v>
      </c>
      <c r="F93" s="10">
        <v>58851</v>
      </c>
      <c r="G93" s="78"/>
      <c r="H93" s="10">
        <f>F93</f>
        <v>58851</v>
      </c>
      <c r="I93" s="10"/>
      <c r="J93" s="10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75">
        <v>87</v>
      </c>
      <c r="B94" s="6" t="s">
        <v>245</v>
      </c>
      <c r="C94" s="7" t="s">
        <v>246</v>
      </c>
      <c r="D94" s="7" t="s">
        <v>18</v>
      </c>
      <c r="E94" s="7" t="s">
        <v>10</v>
      </c>
      <c r="F94" s="10">
        <v>68040</v>
      </c>
      <c r="G94" s="78"/>
      <c r="H94" s="10">
        <f>F94</f>
        <v>68040</v>
      </c>
      <c r="I94" s="10"/>
      <c r="J94" s="10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75">
        <v>88</v>
      </c>
      <c r="B95" s="6" t="s">
        <v>247</v>
      </c>
      <c r="C95" s="7" t="s">
        <v>248</v>
      </c>
      <c r="D95" s="7" t="s">
        <v>18</v>
      </c>
      <c r="E95" s="7" t="s">
        <v>10</v>
      </c>
      <c r="F95" s="10">
        <v>252745</v>
      </c>
      <c r="G95" s="78"/>
      <c r="H95" s="10">
        <f>F95</f>
        <v>252745</v>
      </c>
      <c r="I95" s="10"/>
      <c r="J95" s="10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75">
        <v>89</v>
      </c>
      <c r="B96" s="30" t="s">
        <v>249</v>
      </c>
      <c r="C96" s="31" t="s">
        <v>250</v>
      </c>
      <c r="D96" s="31" t="s">
        <v>251</v>
      </c>
      <c r="E96" s="31" t="s">
        <v>10</v>
      </c>
      <c r="F96" s="27">
        <v>17807</v>
      </c>
      <c r="G96" s="81"/>
      <c r="H96" s="27">
        <f>F96</f>
        <v>17807</v>
      </c>
      <c r="I96" s="27"/>
      <c r="J96" s="27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75">
        <v>90</v>
      </c>
      <c r="B97" s="6" t="s">
        <v>252</v>
      </c>
      <c r="C97" s="7" t="s">
        <v>253</v>
      </c>
      <c r="D97" s="7" t="s">
        <v>18</v>
      </c>
      <c r="E97" s="7" t="s">
        <v>10</v>
      </c>
      <c r="F97" s="10">
        <v>28343</v>
      </c>
      <c r="G97" s="78"/>
      <c r="H97" s="10">
        <f>F97</f>
        <v>28343</v>
      </c>
      <c r="I97" s="10"/>
      <c r="J97" s="10"/>
      <c r="K97" s="1"/>
      <c r="L97" s="1"/>
      <c r="M97" s="1"/>
      <c r="N97" s="1"/>
      <c r="O97" s="1"/>
      <c r="P97" s="1"/>
      <c r="Q97" s="1"/>
      <c r="R97" s="1"/>
      <c r="S97" s="1"/>
    </row>
    <row r="98" spans="1:19" ht="24">
      <c r="A98" s="75">
        <v>91</v>
      </c>
      <c r="B98" s="6" t="s">
        <v>254</v>
      </c>
      <c r="C98" s="7" t="s">
        <v>255</v>
      </c>
      <c r="D98" s="7" t="s">
        <v>18</v>
      </c>
      <c r="E98" s="7" t="s">
        <v>256</v>
      </c>
      <c r="F98" s="10"/>
      <c r="G98" s="32" t="s">
        <v>664</v>
      </c>
      <c r="H98" s="10">
        <f>F98+7737204+12463</f>
        <v>7749667</v>
      </c>
      <c r="I98" s="10"/>
      <c r="J98" s="10"/>
      <c r="K98" s="33"/>
      <c r="L98" s="1"/>
      <c r="M98" s="1"/>
      <c r="N98" s="1"/>
      <c r="O98" s="1"/>
      <c r="P98" s="1"/>
      <c r="Q98" s="1"/>
      <c r="R98" s="1"/>
      <c r="S98" s="1"/>
    </row>
    <row r="99" spans="1:19" ht="12.75">
      <c r="A99" s="75">
        <v>92</v>
      </c>
      <c r="B99" s="6" t="s">
        <v>257</v>
      </c>
      <c r="C99" s="7" t="s">
        <v>258</v>
      </c>
      <c r="D99" s="7" t="s">
        <v>18</v>
      </c>
      <c r="E99" s="7" t="s">
        <v>259</v>
      </c>
      <c r="F99" s="10"/>
      <c r="G99" s="34" t="s">
        <v>665</v>
      </c>
      <c r="H99" s="10">
        <f>279000</f>
        <v>279000</v>
      </c>
      <c r="I99" s="10"/>
      <c r="J99" s="10"/>
      <c r="K99" s="1"/>
      <c r="L99" s="1"/>
      <c r="M99" s="1"/>
      <c r="N99" s="1"/>
      <c r="O99" s="1"/>
      <c r="P99" s="1"/>
      <c r="Q99" s="1"/>
      <c r="R99" s="1"/>
      <c r="S99" s="1"/>
    </row>
    <row r="100" spans="1:19" ht="24">
      <c r="A100" s="75">
        <v>93</v>
      </c>
      <c r="B100" s="6" t="s">
        <v>260</v>
      </c>
      <c r="C100" s="7" t="s">
        <v>261</v>
      </c>
      <c r="D100" s="7" t="s">
        <v>18</v>
      </c>
      <c r="E100" s="7" t="s">
        <v>256</v>
      </c>
      <c r="F100" s="10"/>
      <c r="G100" s="32" t="s">
        <v>666</v>
      </c>
      <c r="H100" s="10">
        <f>F100+16617+268404</f>
        <v>285021</v>
      </c>
      <c r="I100" s="10"/>
      <c r="J100" s="10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75">
        <v>94</v>
      </c>
      <c r="B101" s="6" t="s">
        <v>262</v>
      </c>
      <c r="C101" s="7" t="s">
        <v>263</v>
      </c>
      <c r="D101" s="7" t="s">
        <v>18</v>
      </c>
      <c r="E101" s="7" t="s">
        <v>259</v>
      </c>
      <c r="F101" s="10"/>
      <c r="G101" s="29" t="s">
        <v>264</v>
      </c>
      <c r="H101" s="10">
        <v>40000</v>
      </c>
      <c r="I101" s="10"/>
      <c r="J101" s="10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24">
      <c r="A102" s="75">
        <v>95</v>
      </c>
      <c r="B102" s="6" t="s">
        <v>265</v>
      </c>
      <c r="C102" s="7" t="s">
        <v>266</v>
      </c>
      <c r="D102" s="7" t="s">
        <v>18</v>
      </c>
      <c r="E102" s="7" t="s">
        <v>267</v>
      </c>
      <c r="F102" s="10">
        <v>207803</v>
      </c>
      <c r="G102" s="32" t="s">
        <v>667</v>
      </c>
      <c r="H102" s="10">
        <f>F102+16617+490828</f>
        <v>715248</v>
      </c>
      <c r="I102" s="10"/>
      <c r="J102" s="10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4">
      <c r="A103" s="75">
        <v>96</v>
      </c>
      <c r="B103" s="6" t="s">
        <v>268</v>
      </c>
      <c r="C103" s="7" t="s">
        <v>269</v>
      </c>
      <c r="D103" s="7" t="s">
        <v>18</v>
      </c>
      <c r="E103" s="7" t="s">
        <v>270</v>
      </c>
      <c r="F103" s="10">
        <v>1481006</v>
      </c>
      <c r="G103" s="32" t="s">
        <v>271</v>
      </c>
      <c r="H103" s="10">
        <f>F103+37388+278477+157472</f>
        <v>1954343</v>
      </c>
      <c r="I103" s="10"/>
      <c r="J103" s="10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75">
        <v>97</v>
      </c>
      <c r="B104" s="6" t="s">
        <v>272</v>
      </c>
      <c r="C104" s="7" t="s">
        <v>273</v>
      </c>
      <c r="D104" s="7" t="s">
        <v>18</v>
      </c>
      <c r="E104" s="7" t="s">
        <v>10</v>
      </c>
      <c r="F104" s="10">
        <v>188833</v>
      </c>
      <c r="G104" s="78"/>
      <c r="H104" s="10">
        <f>F104</f>
        <v>188833</v>
      </c>
      <c r="I104" s="10"/>
      <c r="J104" s="10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75">
        <v>98</v>
      </c>
      <c r="B105" s="13" t="s">
        <v>274</v>
      </c>
      <c r="C105" s="14" t="s">
        <v>275</v>
      </c>
      <c r="D105" s="14" t="s">
        <v>56</v>
      </c>
      <c r="E105" s="14" t="s">
        <v>10</v>
      </c>
      <c r="F105" s="15">
        <v>101892</v>
      </c>
      <c r="G105" s="16"/>
      <c r="H105" s="15">
        <f>F105</f>
        <v>101892</v>
      </c>
      <c r="I105" s="16"/>
      <c r="J105" s="16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24">
      <c r="A106" s="75">
        <v>99</v>
      </c>
      <c r="B106" s="6" t="s">
        <v>276</v>
      </c>
      <c r="C106" s="7" t="s">
        <v>277</v>
      </c>
      <c r="D106" s="7" t="s">
        <v>18</v>
      </c>
      <c r="E106" s="7" t="s">
        <v>256</v>
      </c>
      <c r="F106" s="10"/>
      <c r="G106" s="32" t="s">
        <v>278</v>
      </c>
      <c r="H106" s="10">
        <f>F106+52460+4381+45000</f>
        <v>101841</v>
      </c>
      <c r="I106" s="10"/>
      <c r="J106" s="10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4">
      <c r="A107" s="75">
        <v>100</v>
      </c>
      <c r="B107" s="6" t="s">
        <v>279</v>
      </c>
      <c r="C107" s="7" t="s">
        <v>280</v>
      </c>
      <c r="D107" s="7" t="s">
        <v>18</v>
      </c>
      <c r="E107" s="7" t="s">
        <v>259</v>
      </c>
      <c r="F107" s="10"/>
      <c r="G107" s="29" t="s">
        <v>281</v>
      </c>
      <c r="H107" s="10">
        <f>79280+62989</f>
        <v>142269</v>
      </c>
      <c r="I107" s="10"/>
      <c r="J107" s="10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75">
        <v>101</v>
      </c>
      <c r="B108" s="6" t="s">
        <v>282</v>
      </c>
      <c r="C108" s="7" t="s">
        <v>283</v>
      </c>
      <c r="D108" s="7" t="s">
        <v>18</v>
      </c>
      <c r="E108" s="7" t="s">
        <v>10</v>
      </c>
      <c r="F108" s="10">
        <v>141142</v>
      </c>
      <c r="G108" s="29"/>
      <c r="H108" s="10">
        <f>F108</f>
        <v>141142</v>
      </c>
      <c r="I108" s="10"/>
      <c r="J108" s="10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36">
      <c r="A109" s="75">
        <v>102</v>
      </c>
      <c r="B109" s="6" t="s">
        <v>284</v>
      </c>
      <c r="C109" s="7" t="s">
        <v>285</v>
      </c>
      <c r="D109" s="7" t="s">
        <v>18</v>
      </c>
      <c r="E109" s="7" t="s">
        <v>259</v>
      </c>
      <c r="F109" s="10"/>
      <c r="G109" s="29" t="s">
        <v>286</v>
      </c>
      <c r="H109" s="10">
        <f>28080+34000</f>
        <v>62080</v>
      </c>
      <c r="I109" s="10"/>
      <c r="J109" s="10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75">
        <v>103</v>
      </c>
      <c r="B110" s="6" t="s">
        <v>287</v>
      </c>
      <c r="C110" s="7" t="s">
        <v>288</v>
      </c>
      <c r="D110" s="7" t="s">
        <v>18</v>
      </c>
      <c r="E110" s="7" t="s">
        <v>10</v>
      </c>
      <c r="F110" s="10">
        <v>204584</v>
      </c>
      <c r="G110" s="80"/>
      <c r="H110" s="10">
        <f>F110</f>
        <v>204584</v>
      </c>
      <c r="I110" s="10"/>
      <c r="J110" s="10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75">
        <v>104</v>
      </c>
      <c r="B111" s="6" t="s">
        <v>289</v>
      </c>
      <c r="C111" s="7" t="s">
        <v>290</v>
      </c>
      <c r="D111" s="7" t="s">
        <v>18</v>
      </c>
      <c r="E111" s="7" t="s">
        <v>10</v>
      </c>
      <c r="F111" s="10">
        <v>2003570</v>
      </c>
      <c r="G111" s="78"/>
      <c r="H111" s="10">
        <f>F111</f>
        <v>2003570</v>
      </c>
      <c r="I111" s="10"/>
      <c r="J111" s="10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75">
        <v>105</v>
      </c>
      <c r="B112" s="6" t="s">
        <v>291</v>
      </c>
      <c r="C112" s="7" t="s">
        <v>292</v>
      </c>
      <c r="D112" s="7" t="s">
        <v>18</v>
      </c>
      <c r="E112" s="7" t="s">
        <v>10</v>
      </c>
      <c r="F112" s="10">
        <v>7546</v>
      </c>
      <c r="G112" s="80"/>
      <c r="H112" s="10">
        <f>F112</f>
        <v>7546</v>
      </c>
      <c r="I112" s="10"/>
      <c r="J112" s="10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75">
        <v>106</v>
      </c>
      <c r="B113" s="13" t="s">
        <v>293</v>
      </c>
      <c r="C113" s="14" t="s">
        <v>294</v>
      </c>
      <c r="D113" s="14" t="s">
        <v>56</v>
      </c>
      <c r="E113" s="14" t="s">
        <v>10</v>
      </c>
      <c r="F113" s="15">
        <v>617757</v>
      </c>
      <c r="G113" s="16"/>
      <c r="H113" s="15">
        <f>F113</f>
        <v>617757</v>
      </c>
      <c r="I113" s="16"/>
      <c r="J113" s="16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24">
      <c r="A114" s="75">
        <v>107</v>
      </c>
      <c r="B114" s="6" t="s">
        <v>295</v>
      </c>
      <c r="C114" s="7" t="s">
        <v>296</v>
      </c>
      <c r="D114" s="7" t="s">
        <v>18</v>
      </c>
      <c r="E114" s="7" t="s">
        <v>10</v>
      </c>
      <c r="F114" s="10">
        <v>8661</v>
      </c>
      <c r="G114" s="78"/>
      <c r="H114" s="10">
        <f>F114</f>
        <v>8661</v>
      </c>
      <c r="I114" s="10"/>
      <c r="J114" s="10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36">
      <c r="A115" s="75">
        <v>108</v>
      </c>
      <c r="B115" s="6" t="s">
        <v>297</v>
      </c>
      <c r="C115" s="7" t="s">
        <v>298</v>
      </c>
      <c r="D115" s="7" t="s">
        <v>18</v>
      </c>
      <c r="E115" s="7" t="s">
        <v>299</v>
      </c>
      <c r="F115" s="10">
        <v>1383800</v>
      </c>
      <c r="G115" s="32" t="s">
        <v>300</v>
      </c>
      <c r="H115" s="10">
        <f>F115+353800</f>
        <v>1737600</v>
      </c>
      <c r="I115" s="10"/>
      <c r="J115" s="10">
        <v>145100</v>
      </c>
      <c r="K115" s="82"/>
      <c r="L115" s="82"/>
      <c r="M115" s="1"/>
      <c r="N115" s="1"/>
      <c r="O115" s="1"/>
      <c r="P115" s="1"/>
      <c r="Q115" s="1"/>
      <c r="R115" s="1"/>
      <c r="S115" s="1"/>
    </row>
    <row r="116" spans="1:19" ht="24">
      <c r="A116" s="75">
        <v>109</v>
      </c>
      <c r="B116" s="6" t="s">
        <v>301</v>
      </c>
      <c r="C116" s="7" t="s">
        <v>302</v>
      </c>
      <c r="D116" s="7" t="s">
        <v>18</v>
      </c>
      <c r="E116" s="7" t="s">
        <v>299</v>
      </c>
      <c r="F116" s="10">
        <v>2183600</v>
      </c>
      <c r="G116" s="32" t="s">
        <v>303</v>
      </c>
      <c r="H116" s="10">
        <f>F116+1009300</f>
        <v>3192900</v>
      </c>
      <c r="I116" s="10"/>
      <c r="J116" s="10">
        <v>895870</v>
      </c>
      <c r="K116" s="82"/>
      <c r="L116" s="82"/>
      <c r="M116" s="1"/>
      <c r="N116" s="1"/>
      <c r="O116" s="1"/>
      <c r="P116" s="1"/>
      <c r="Q116" s="1"/>
      <c r="R116" s="1"/>
      <c r="S116" s="1"/>
    </row>
    <row r="117" spans="1:19" ht="12.75">
      <c r="A117" s="75">
        <v>110</v>
      </c>
      <c r="B117" s="6" t="s">
        <v>304</v>
      </c>
      <c r="C117" s="7" t="s">
        <v>305</v>
      </c>
      <c r="D117" s="7" t="s">
        <v>18</v>
      </c>
      <c r="E117" s="7" t="s">
        <v>10</v>
      </c>
      <c r="F117" s="10">
        <v>1077300</v>
      </c>
      <c r="G117" s="78"/>
      <c r="H117" s="10">
        <f>F117</f>
        <v>1077300</v>
      </c>
      <c r="I117" s="10"/>
      <c r="J117" s="10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75">
        <v>111</v>
      </c>
      <c r="B118" s="6" t="s">
        <v>306</v>
      </c>
      <c r="C118" s="7" t="s">
        <v>307</v>
      </c>
      <c r="D118" s="7" t="s">
        <v>18</v>
      </c>
      <c r="E118" s="7" t="s">
        <v>10</v>
      </c>
      <c r="F118" s="10">
        <v>581204</v>
      </c>
      <c r="G118" s="78"/>
      <c r="H118" s="10">
        <f>F118</f>
        <v>581204</v>
      </c>
      <c r="I118" s="10"/>
      <c r="J118" s="10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75">
        <v>112</v>
      </c>
      <c r="B119" s="6" t="s">
        <v>308</v>
      </c>
      <c r="C119" s="7" t="s">
        <v>309</v>
      </c>
      <c r="D119" s="7" t="s">
        <v>18</v>
      </c>
      <c r="E119" s="7" t="s">
        <v>310</v>
      </c>
      <c r="F119" s="10">
        <v>10803</v>
      </c>
      <c r="G119" s="29" t="s">
        <v>311</v>
      </c>
      <c r="H119" s="10">
        <f>F119+5000</f>
        <v>15803</v>
      </c>
      <c r="I119" s="10"/>
      <c r="J119" s="10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24">
      <c r="A120" s="75">
        <v>113</v>
      </c>
      <c r="B120" s="6" t="s">
        <v>312</v>
      </c>
      <c r="C120" s="7" t="s">
        <v>313</v>
      </c>
      <c r="D120" s="7" t="s">
        <v>18</v>
      </c>
      <c r="E120" s="7" t="s">
        <v>10</v>
      </c>
      <c r="F120" s="10">
        <v>5402</v>
      </c>
      <c r="G120" s="78"/>
      <c r="H120" s="10">
        <f>F120</f>
        <v>5402</v>
      </c>
      <c r="I120" s="10"/>
      <c r="J120" s="10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75">
        <v>114</v>
      </c>
      <c r="B121" s="6" t="s">
        <v>314</v>
      </c>
      <c r="C121" s="7" t="s">
        <v>315</v>
      </c>
      <c r="D121" s="7" t="s">
        <v>18</v>
      </c>
      <c r="E121" s="7" t="s">
        <v>10</v>
      </c>
      <c r="F121" s="10">
        <v>5633</v>
      </c>
      <c r="G121" s="80"/>
      <c r="H121" s="10">
        <f>F121</f>
        <v>5633</v>
      </c>
      <c r="I121" s="10"/>
      <c r="J121" s="10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75">
        <v>115</v>
      </c>
      <c r="B122" s="6" t="s">
        <v>316</v>
      </c>
      <c r="C122" s="7" t="s">
        <v>317</v>
      </c>
      <c r="D122" s="7" t="s">
        <v>18</v>
      </c>
      <c r="E122" s="7" t="s">
        <v>227</v>
      </c>
      <c r="F122" s="10">
        <v>188654</v>
      </c>
      <c r="G122" s="29" t="s">
        <v>318</v>
      </c>
      <c r="H122" s="10">
        <f>F122+93500</f>
        <v>282154</v>
      </c>
      <c r="I122" s="10"/>
      <c r="J122" s="10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75">
        <v>116</v>
      </c>
      <c r="B123" s="6" t="s">
        <v>319</v>
      </c>
      <c r="C123" s="7" t="s">
        <v>320</v>
      </c>
      <c r="D123" s="7" t="s">
        <v>18</v>
      </c>
      <c r="E123" s="7" t="s">
        <v>10</v>
      </c>
      <c r="F123" s="10">
        <v>349023</v>
      </c>
      <c r="G123" s="78"/>
      <c r="H123" s="10">
        <f>F123</f>
        <v>349023</v>
      </c>
      <c r="I123" s="10"/>
      <c r="J123" s="10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75">
        <v>117</v>
      </c>
      <c r="B124" s="6" t="s">
        <v>321</v>
      </c>
      <c r="C124" s="7" t="s">
        <v>322</v>
      </c>
      <c r="D124" s="7" t="s">
        <v>18</v>
      </c>
      <c r="E124" s="7" t="s">
        <v>10</v>
      </c>
      <c r="F124" s="10">
        <v>1887041</v>
      </c>
      <c r="G124" s="78"/>
      <c r="H124" s="10">
        <f>F124</f>
        <v>1887041</v>
      </c>
      <c r="I124" s="10"/>
      <c r="J124" s="10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75">
        <v>118</v>
      </c>
      <c r="B125" s="6" t="s">
        <v>323</v>
      </c>
      <c r="C125" s="7" t="s">
        <v>324</v>
      </c>
      <c r="D125" s="7" t="s">
        <v>18</v>
      </c>
      <c r="E125" s="7" t="s">
        <v>10</v>
      </c>
      <c r="F125" s="10">
        <v>194825</v>
      </c>
      <c r="G125" s="78"/>
      <c r="H125" s="10">
        <f>F125</f>
        <v>194825</v>
      </c>
      <c r="I125" s="10"/>
      <c r="J125" s="10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75">
        <v>119</v>
      </c>
      <c r="B126" s="6" t="s">
        <v>325</v>
      </c>
      <c r="C126" s="7" t="s">
        <v>326</v>
      </c>
      <c r="D126" s="7" t="s">
        <v>18</v>
      </c>
      <c r="E126" s="7" t="s">
        <v>327</v>
      </c>
      <c r="F126" s="10">
        <v>1287797</v>
      </c>
      <c r="G126" s="29" t="s">
        <v>328</v>
      </c>
      <c r="H126" s="10">
        <f>F126+1860000</f>
        <v>3147797</v>
      </c>
      <c r="I126" s="10"/>
      <c r="J126" s="10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">
      <c r="A127" s="75">
        <v>120</v>
      </c>
      <c r="B127" s="6" t="s">
        <v>329</v>
      </c>
      <c r="C127" s="7" t="s">
        <v>330</v>
      </c>
      <c r="D127" s="7" t="s">
        <v>18</v>
      </c>
      <c r="E127" s="7" t="s">
        <v>331</v>
      </c>
      <c r="F127" s="10"/>
      <c r="G127" s="32" t="s">
        <v>332</v>
      </c>
      <c r="H127" s="10">
        <f>F127+1860000+130000</f>
        <v>1990000</v>
      </c>
      <c r="I127" s="10"/>
      <c r="J127" s="10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">
      <c r="A128" s="75">
        <v>121</v>
      </c>
      <c r="B128" s="6" t="s">
        <v>333</v>
      </c>
      <c r="C128" s="7" t="s">
        <v>334</v>
      </c>
      <c r="D128" s="7" t="s">
        <v>18</v>
      </c>
      <c r="E128" s="7" t="s">
        <v>327</v>
      </c>
      <c r="F128" s="10">
        <v>51017</v>
      </c>
      <c r="G128" s="29" t="s">
        <v>335</v>
      </c>
      <c r="H128" s="10">
        <f>F128+1047000</f>
        <v>1098017</v>
      </c>
      <c r="I128" s="10"/>
      <c r="J128" s="10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">
      <c r="A129" s="75">
        <v>122</v>
      </c>
      <c r="B129" s="6" t="s">
        <v>336</v>
      </c>
      <c r="C129" s="7" t="s">
        <v>337</v>
      </c>
      <c r="D129" s="7" t="s">
        <v>18</v>
      </c>
      <c r="E129" s="7" t="s">
        <v>327</v>
      </c>
      <c r="F129" s="10">
        <v>51018</v>
      </c>
      <c r="G129" s="29" t="s">
        <v>338</v>
      </c>
      <c r="H129" s="10">
        <f>F129+178000</f>
        <v>229018</v>
      </c>
      <c r="I129" s="10"/>
      <c r="J129" s="10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75">
        <v>123</v>
      </c>
      <c r="B130" s="6" t="s">
        <v>339</v>
      </c>
      <c r="C130" s="7" t="s">
        <v>340</v>
      </c>
      <c r="D130" s="7" t="s">
        <v>18</v>
      </c>
      <c r="E130" s="7" t="s">
        <v>10</v>
      </c>
      <c r="F130" s="10">
        <v>881230</v>
      </c>
      <c r="G130" s="78"/>
      <c r="H130" s="10">
        <f>F130</f>
        <v>881230</v>
      </c>
      <c r="I130" s="10"/>
      <c r="J130" s="10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24">
      <c r="A131" s="75">
        <v>124</v>
      </c>
      <c r="B131" s="6" t="s">
        <v>341</v>
      </c>
      <c r="C131" s="7" t="s">
        <v>342</v>
      </c>
      <c r="D131" s="7" t="s">
        <v>18</v>
      </c>
      <c r="E131" s="7" t="s">
        <v>331</v>
      </c>
      <c r="F131" s="10"/>
      <c r="G131" s="32" t="s">
        <v>343</v>
      </c>
      <c r="H131" s="10">
        <f>F131+1725000+20000</f>
        <v>1745000</v>
      </c>
      <c r="I131" s="10"/>
      <c r="J131" s="10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24">
      <c r="A132" s="75">
        <v>125</v>
      </c>
      <c r="B132" s="13" t="s">
        <v>344</v>
      </c>
      <c r="C132" s="14" t="s">
        <v>345</v>
      </c>
      <c r="D132" s="14" t="s">
        <v>56</v>
      </c>
      <c r="E132" s="14" t="s">
        <v>10</v>
      </c>
      <c r="F132" s="15">
        <v>28351</v>
      </c>
      <c r="G132" s="16"/>
      <c r="H132" s="15">
        <f>F132</f>
        <v>28351</v>
      </c>
      <c r="I132" s="16"/>
      <c r="J132" s="16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75">
        <v>126</v>
      </c>
      <c r="B133" s="6" t="s">
        <v>346</v>
      </c>
      <c r="C133" s="7" t="s">
        <v>347</v>
      </c>
      <c r="D133" s="7" t="s">
        <v>18</v>
      </c>
      <c r="E133" s="7" t="s">
        <v>668</v>
      </c>
      <c r="F133" s="10"/>
      <c r="G133" s="18" t="s">
        <v>669</v>
      </c>
      <c r="H133" s="10">
        <f>241900</f>
        <v>241900</v>
      </c>
      <c r="I133" s="10"/>
      <c r="J133" s="10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75">
        <v>127</v>
      </c>
      <c r="B134" s="6" t="s">
        <v>348</v>
      </c>
      <c r="C134" s="7" t="s">
        <v>349</v>
      </c>
      <c r="D134" s="7" t="s">
        <v>18</v>
      </c>
      <c r="E134" s="7" t="s">
        <v>350</v>
      </c>
      <c r="F134" s="10"/>
      <c r="G134" s="29" t="s">
        <v>351</v>
      </c>
      <c r="H134" s="10">
        <f>3337</f>
        <v>3337</v>
      </c>
      <c r="I134" s="10"/>
      <c r="J134" s="10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75">
        <v>128</v>
      </c>
      <c r="B135" s="6" t="s">
        <v>352</v>
      </c>
      <c r="C135" s="7" t="s">
        <v>353</v>
      </c>
      <c r="D135" s="7" t="s">
        <v>18</v>
      </c>
      <c r="E135" s="7" t="s">
        <v>10</v>
      </c>
      <c r="F135" s="10">
        <v>888183</v>
      </c>
      <c r="G135" s="78"/>
      <c r="H135" s="10">
        <f>F135</f>
        <v>888183</v>
      </c>
      <c r="I135" s="10"/>
      <c r="J135" s="10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75">
        <v>129</v>
      </c>
      <c r="B136" s="6" t="s">
        <v>354</v>
      </c>
      <c r="C136" s="7" t="s">
        <v>355</v>
      </c>
      <c r="D136" s="7" t="s">
        <v>18</v>
      </c>
      <c r="E136" s="7" t="s">
        <v>10</v>
      </c>
      <c r="F136" s="10">
        <v>574280</v>
      </c>
      <c r="G136" s="78"/>
      <c r="H136" s="10">
        <f>F136</f>
        <v>574280</v>
      </c>
      <c r="I136" s="10"/>
      <c r="J136" s="10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75">
        <v>130</v>
      </c>
      <c r="B137" s="6" t="s">
        <v>356</v>
      </c>
      <c r="C137" s="7" t="s">
        <v>357</v>
      </c>
      <c r="D137" s="7" t="s">
        <v>18</v>
      </c>
      <c r="E137" s="7" t="s">
        <v>10</v>
      </c>
      <c r="F137" s="10">
        <v>638715</v>
      </c>
      <c r="G137" s="78"/>
      <c r="H137" s="10">
        <f>F137</f>
        <v>638715</v>
      </c>
      <c r="I137" s="10"/>
      <c r="J137" s="10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75">
        <v>131</v>
      </c>
      <c r="B138" s="6" t="s">
        <v>358</v>
      </c>
      <c r="C138" s="7" t="s">
        <v>359</v>
      </c>
      <c r="D138" s="7" t="s">
        <v>18</v>
      </c>
      <c r="E138" s="7" t="s">
        <v>10</v>
      </c>
      <c r="F138" s="10">
        <v>2244654</v>
      </c>
      <c r="G138" s="80"/>
      <c r="H138" s="10">
        <f>F138</f>
        <v>2244654</v>
      </c>
      <c r="I138" s="10"/>
      <c r="J138" s="10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75">
        <v>132</v>
      </c>
      <c r="B139" s="6" t="s">
        <v>360</v>
      </c>
      <c r="C139" s="7" t="s">
        <v>361</v>
      </c>
      <c r="D139" s="7" t="s">
        <v>18</v>
      </c>
      <c r="E139" s="7" t="s">
        <v>10</v>
      </c>
      <c r="F139" s="10">
        <v>926308</v>
      </c>
      <c r="G139" s="78"/>
      <c r="H139" s="10">
        <f>F139</f>
        <v>926308</v>
      </c>
      <c r="I139" s="10"/>
      <c r="J139" s="10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">
      <c r="A140" s="75">
        <v>133</v>
      </c>
      <c r="B140" s="6" t="s">
        <v>362</v>
      </c>
      <c r="C140" s="7" t="s">
        <v>363</v>
      </c>
      <c r="D140" s="7" t="s">
        <v>18</v>
      </c>
      <c r="E140" s="7" t="s">
        <v>364</v>
      </c>
      <c r="F140" s="10">
        <v>2606697</v>
      </c>
      <c r="G140" s="18" t="s">
        <v>365</v>
      </c>
      <c r="H140" s="10">
        <f>F140+700</f>
        <v>2607397</v>
      </c>
      <c r="I140" s="10"/>
      <c r="J140" s="10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>
      <c r="A141" s="75">
        <v>134</v>
      </c>
      <c r="B141" s="6" t="s">
        <v>366</v>
      </c>
      <c r="C141" s="7" t="s">
        <v>367</v>
      </c>
      <c r="D141" s="7" t="s">
        <v>18</v>
      </c>
      <c r="E141" s="7" t="s">
        <v>364</v>
      </c>
      <c r="F141" s="10">
        <v>2577144</v>
      </c>
      <c r="G141" s="18" t="s">
        <v>365</v>
      </c>
      <c r="H141" s="10">
        <f>F141+700</f>
        <v>2577844</v>
      </c>
      <c r="I141" s="10"/>
      <c r="J141" s="10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>
      <c r="A142" s="75">
        <v>135</v>
      </c>
      <c r="B142" s="6" t="s">
        <v>368</v>
      </c>
      <c r="C142" s="7" t="s">
        <v>369</v>
      </c>
      <c r="D142" s="7" t="s">
        <v>18</v>
      </c>
      <c r="E142" s="7" t="s">
        <v>10</v>
      </c>
      <c r="F142" s="10">
        <v>685994</v>
      </c>
      <c r="G142" s="77"/>
      <c r="H142" s="10">
        <f aca="true" t="shared" si="5" ref="H142:H148">F142</f>
        <v>685994</v>
      </c>
      <c r="I142" s="10"/>
      <c r="J142" s="10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>
      <c r="A143" s="75">
        <v>136</v>
      </c>
      <c r="B143" s="6" t="s">
        <v>370</v>
      </c>
      <c r="C143" s="7" t="s">
        <v>371</v>
      </c>
      <c r="D143" s="7" t="s">
        <v>18</v>
      </c>
      <c r="E143" s="7" t="s">
        <v>364</v>
      </c>
      <c r="F143" s="10">
        <v>293322</v>
      </c>
      <c r="G143" s="18" t="s">
        <v>372</v>
      </c>
      <c r="H143" s="10">
        <f>F143+19000+55000</f>
        <v>367322</v>
      </c>
      <c r="I143" s="10"/>
      <c r="J143" s="10"/>
      <c r="K143" s="35"/>
      <c r="L143" s="35"/>
      <c r="M143" s="35"/>
      <c r="N143" s="1"/>
      <c r="O143" s="1"/>
      <c r="P143" s="1"/>
      <c r="Q143" s="1"/>
      <c r="R143" s="1"/>
      <c r="S143" s="1"/>
    </row>
    <row r="144" spans="1:19" ht="60">
      <c r="A144" s="75">
        <v>137</v>
      </c>
      <c r="B144" s="6" t="s">
        <v>373</v>
      </c>
      <c r="C144" s="7" t="s">
        <v>374</v>
      </c>
      <c r="D144" s="7" t="s">
        <v>18</v>
      </c>
      <c r="E144" s="7" t="s">
        <v>364</v>
      </c>
      <c r="F144" s="10">
        <v>53738</v>
      </c>
      <c r="G144" s="36" t="s">
        <v>375</v>
      </c>
      <c r="H144" s="10">
        <f>F144+95000+360203</f>
        <v>508941</v>
      </c>
      <c r="I144" s="10"/>
      <c r="J144" s="10"/>
      <c r="K144" s="35"/>
      <c r="L144" s="35"/>
      <c r="M144" s="35"/>
      <c r="N144" s="35"/>
      <c r="O144" s="35"/>
      <c r="P144" s="1"/>
      <c r="Q144" s="1"/>
      <c r="R144" s="1"/>
      <c r="S144" s="1"/>
    </row>
    <row r="145" spans="1:19" ht="12.75">
      <c r="A145" s="75">
        <v>138</v>
      </c>
      <c r="B145" s="6" t="s">
        <v>376</v>
      </c>
      <c r="C145" s="7" t="s">
        <v>377</v>
      </c>
      <c r="D145" s="7" t="s">
        <v>18</v>
      </c>
      <c r="E145" s="7" t="s">
        <v>10</v>
      </c>
      <c r="F145" s="10">
        <v>223379</v>
      </c>
      <c r="G145" s="78"/>
      <c r="H145" s="10">
        <f t="shared" si="5"/>
        <v>223379</v>
      </c>
      <c r="I145" s="10"/>
      <c r="J145" s="10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>
      <c r="A146" s="75">
        <v>139</v>
      </c>
      <c r="B146" s="6" t="s">
        <v>378</v>
      </c>
      <c r="C146" s="7" t="s">
        <v>379</v>
      </c>
      <c r="D146" s="7" t="s">
        <v>18</v>
      </c>
      <c r="E146" s="7" t="s">
        <v>10</v>
      </c>
      <c r="F146" s="10">
        <v>127999</v>
      </c>
      <c r="G146" s="78"/>
      <c r="H146" s="10">
        <f t="shared" si="5"/>
        <v>127999</v>
      </c>
      <c r="I146" s="10"/>
      <c r="J146" s="10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24">
      <c r="A147" s="75">
        <v>140</v>
      </c>
      <c r="B147" s="6" t="s">
        <v>380</v>
      </c>
      <c r="C147" s="7" t="s">
        <v>381</v>
      </c>
      <c r="D147" s="7" t="s">
        <v>18</v>
      </c>
      <c r="E147" s="7" t="s">
        <v>10</v>
      </c>
      <c r="F147" s="10">
        <v>27068</v>
      </c>
      <c r="G147" s="78"/>
      <c r="H147" s="10">
        <f t="shared" si="5"/>
        <v>27068</v>
      </c>
      <c r="I147" s="10"/>
      <c r="J147" s="10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24">
      <c r="A148" s="75">
        <v>141</v>
      </c>
      <c r="B148" s="13" t="s">
        <v>382</v>
      </c>
      <c r="C148" s="14" t="s">
        <v>383</v>
      </c>
      <c r="D148" s="14" t="s">
        <v>384</v>
      </c>
      <c r="E148" s="14" t="s">
        <v>10</v>
      </c>
      <c r="F148" s="15">
        <v>11678241</v>
      </c>
      <c r="G148" s="16"/>
      <c r="H148" s="15">
        <f t="shared" si="5"/>
        <v>11678241</v>
      </c>
      <c r="I148" s="16"/>
      <c r="J148" s="16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>
      <c r="A149" s="75">
        <v>142</v>
      </c>
      <c r="B149" s="6" t="s">
        <v>385</v>
      </c>
      <c r="C149" s="7" t="s">
        <v>386</v>
      </c>
      <c r="D149" s="7" t="s">
        <v>18</v>
      </c>
      <c r="E149" s="7" t="s">
        <v>387</v>
      </c>
      <c r="G149" s="29" t="s">
        <v>388</v>
      </c>
      <c r="H149" s="10">
        <v>1992507</v>
      </c>
      <c r="I149" s="10"/>
      <c r="J149" s="10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>
      <c r="A150" s="75">
        <v>143</v>
      </c>
      <c r="B150" s="6" t="s">
        <v>389</v>
      </c>
      <c r="C150" s="7" t="s">
        <v>390</v>
      </c>
      <c r="D150" s="7" t="s">
        <v>18</v>
      </c>
      <c r="E150" s="7" t="s">
        <v>391</v>
      </c>
      <c r="F150" s="10">
        <v>145123</v>
      </c>
      <c r="G150" s="29" t="s">
        <v>392</v>
      </c>
      <c r="H150" s="10">
        <f>F150</f>
        <v>145123</v>
      </c>
      <c r="I150" s="10"/>
      <c r="J150" s="10">
        <v>47274</v>
      </c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>
      <c r="A151" s="75">
        <v>144</v>
      </c>
      <c r="B151" s="6" t="s">
        <v>393</v>
      </c>
      <c r="C151" s="7" t="s">
        <v>394</v>
      </c>
      <c r="D151" s="7" t="s">
        <v>18</v>
      </c>
      <c r="E151" s="7" t="s">
        <v>10</v>
      </c>
      <c r="F151" s="10">
        <v>1350812</v>
      </c>
      <c r="G151" s="78"/>
      <c r="H151" s="10">
        <f>F151</f>
        <v>1350812</v>
      </c>
      <c r="I151" s="10"/>
      <c r="J151" s="10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>
      <c r="A152" s="75">
        <v>145</v>
      </c>
      <c r="B152" s="6" t="s">
        <v>395</v>
      </c>
      <c r="C152" s="7" t="s">
        <v>396</v>
      </c>
      <c r="D152" s="7" t="s">
        <v>18</v>
      </c>
      <c r="E152" s="7" t="s">
        <v>10</v>
      </c>
      <c r="F152" s="10">
        <v>199595</v>
      </c>
      <c r="G152" s="78"/>
      <c r="H152" s="10">
        <f>F152</f>
        <v>199595</v>
      </c>
      <c r="I152" s="10"/>
      <c r="J152" s="10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>
      <c r="A153" s="75">
        <v>146</v>
      </c>
      <c r="B153" s="6" t="s">
        <v>397</v>
      </c>
      <c r="C153" s="7" t="s">
        <v>398</v>
      </c>
      <c r="D153" s="7" t="s">
        <v>18</v>
      </c>
      <c r="E153" s="7" t="s">
        <v>10</v>
      </c>
      <c r="F153" s="10">
        <v>4136113</v>
      </c>
      <c r="G153" s="78"/>
      <c r="H153" s="10">
        <f>F153</f>
        <v>4136113</v>
      </c>
      <c r="I153" s="10"/>
      <c r="J153" s="10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24">
      <c r="A154" s="75">
        <v>147</v>
      </c>
      <c r="B154" s="6" t="s">
        <v>399</v>
      </c>
      <c r="C154" s="7" t="s">
        <v>400</v>
      </c>
      <c r="D154" s="7" t="s">
        <v>18</v>
      </c>
      <c r="E154" s="7" t="s">
        <v>668</v>
      </c>
      <c r="F154" s="10"/>
      <c r="G154" s="18" t="s">
        <v>670</v>
      </c>
      <c r="H154" s="10">
        <v>173230</v>
      </c>
      <c r="I154" s="10"/>
      <c r="J154" s="10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>
      <c r="A155" s="75">
        <v>148</v>
      </c>
      <c r="B155" s="6" t="s">
        <v>401</v>
      </c>
      <c r="C155" s="7" t="s">
        <v>402</v>
      </c>
      <c r="D155" s="7" t="s">
        <v>18</v>
      </c>
      <c r="E155" s="7" t="s">
        <v>10</v>
      </c>
      <c r="F155" s="10">
        <v>92243</v>
      </c>
      <c r="G155" s="78"/>
      <c r="H155" s="10">
        <f>F155</f>
        <v>92243</v>
      </c>
      <c r="I155" s="10"/>
      <c r="J155" s="10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24">
      <c r="A156" s="75">
        <v>149</v>
      </c>
      <c r="B156" s="6" t="s">
        <v>403</v>
      </c>
      <c r="C156" s="7" t="s">
        <v>404</v>
      </c>
      <c r="D156" s="7" t="s">
        <v>18</v>
      </c>
      <c r="E156" s="7" t="s">
        <v>405</v>
      </c>
      <c r="F156" s="10">
        <v>102185</v>
      </c>
      <c r="G156" s="29" t="s">
        <v>406</v>
      </c>
      <c r="H156" s="10">
        <f>F156+12800</f>
        <v>114985</v>
      </c>
      <c r="I156" s="10"/>
      <c r="J156" s="10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24">
      <c r="A157" s="75">
        <v>150</v>
      </c>
      <c r="B157" s="6" t="s">
        <v>407</v>
      </c>
      <c r="C157" s="7" t="s">
        <v>408</v>
      </c>
      <c r="D157" s="7" t="s">
        <v>18</v>
      </c>
      <c r="E157" s="7" t="s">
        <v>350</v>
      </c>
      <c r="F157" s="10"/>
      <c r="G157" s="29" t="s">
        <v>409</v>
      </c>
      <c r="H157" s="10">
        <f>5000</f>
        <v>5000</v>
      </c>
      <c r="I157" s="10"/>
      <c r="J157" s="10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24">
      <c r="A158" s="75">
        <v>151</v>
      </c>
      <c r="B158" s="6" t="s">
        <v>410</v>
      </c>
      <c r="C158" s="7" t="s">
        <v>411</v>
      </c>
      <c r="D158" s="7" t="s">
        <v>18</v>
      </c>
      <c r="E158" s="7" t="s">
        <v>10</v>
      </c>
      <c r="F158" s="10">
        <v>780927</v>
      </c>
      <c r="G158" s="78"/>
      <c r="H158" s="10">
        <f>F158</f>
        <v>780927</v>
      </c>
      <c r="I158" s="10"/>
      <c r="J158" s="10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48">
      <c r="A159" s="75">
        <v>152</v>
      </c>
      <c r="B159" s="6" t="s">
        <v>412</v>
      </c>
      <c r="C159" s="7" t="s">
        <v>413</v>
      </c>
      <c r="D159" s="7" t="s">
        <v>18</v>
      </c>
      <c r="E159" s="7" t="s">
        <v>10</v>
      </c>
      <c r="F159" s="10">
        <v>3069050</v>
      </c>
      <c r="G159" s="78"/>
      <c r="H159" s="10">
        <f>F159</f>
        <v>3069050</v>
      </c>
      <c r="I159" s="10"/>
      <c r="J159" s="10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>
      <c r="A160" s="75">
        <v>153</v>
      </c>
      <c r="B160" s="6" t="s">
        <v>414</v>
      </c>
      <c r="C160" s="7" t="s">
        <v>415</v>
      </c>
      <c r="D160" s="7" t="s">
        <v>18</v>
      </c>
      <c r="E160" s="7" t="s">
        <v>416</v>
      </c>
      <c r="F160" s="10"/>
      <c r="G160" s="29" t="s">
        <v>417</v>
      </c>
      <c r="H160" s="10">
        <f>11500</f>
        <v>11500</v>
      </c>
      <c r="I160" s="10"/>
      <c r="J160" s="10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>
      <c r="A161" s="75">
        <v>154</v>
      </c>
      <c r="B161" s="6" t="s">
        <v>418</v>
      </c>
      <c r="C161" s="7" t="s">
        <v>419</v>
      </c>
      <c r="D161" s="7" t="s">
        <v>18</v>
      </c>
      <c r="E161" s="7" t="s">
        <v>416</v>
      </c>
      <c r="F161" s="10"/>
      <c r="G161" s="29" t="s">
        <v>417</v>
      </c>
      <c r="H161" s="10">
        <f>11500</f>
        <v>11500</v>
      </c>
      <c r="I161" s="10"/>
      <c r="J161" s="10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>
      <c r="A162" s="75">
        <v>155</v>
      </c>
      <c r="B162" s="6" t="s">
        <v>420</v>
      </c>
      <c r="C162" s="7" t="s">
        <v>421</v>
      </c>
      <c r="D162" s="7" t="s">
        <v>18</v>
      </c>
      <c r="E162" s="7" t="s">
        <v>10</v>
      </c>
      <c r="F162" s="10">
        <v>276921</v>
      </c>
      <c r="G162" s="78"/>
      <c r="H162" s="10">
        <f aca="true" t="shared" si="6" ref="H162:H167">F162</f>
        <v>276921</v>
      </c>
      <c r="I162" s="10"/>
      <c r="J162" s="10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>
      <c r="A163" s="75">
        <v>156</v>
      </c>
      <c r="B163" s="6" t="s">
        <v>422</v>
      </c>
      <c r="C163" s="7" t="s">
        <v>423</v>
      </c>
      <c r="D163" s="7" t="s">
        <v>18</v>
      </c>
      <c r="E163" s="7" t="s">
        <v>10</v>
      </c>
      <c r="F163" s="10">
        <v>1738842</v>
      </c>
      <c r="G163" s="78"/>
      <c r="H163" s="10">
        <f t="shared" si="6"/>
        <v>1738842</v>
      </c>
      <c r="I163" s="10"/>
      <c r="J163" s="10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>
      <c r="A164" s="75">
        <v>157</v>
      </c>
      <c r="B164" s="6" t="s">
        <v>424</v>
      </c>
      <c r="C164" s="7" t="s">
        <v>425</v>
      </c>
      <c r="D164" s="7" t="s">
        <v>18</v>
      </c>
      <c r="E164" s="7" t="s">
        <v>10</v>
      </c>
      <c r="F164" s="10">
        <v>6267</v>
      </c>
      <c r="G164" s="78"/>
      <c r="H164" s="10">
        <f t="shared" si="6"/>
        <v>6267</v>
      </c>
      <c r="I164" s="10"/>
      <c r="J164" s="10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>
      <c r="A165" s="75">
        <v>158</v>
      </c>
      <c r="B165" s="6" t="s">
        <v>426</v>
      </c>
      <c r="C165" s="7" t="s">
        <v>427</v>
      </c>
      <c r="D165" s="7" t="s">
        <v>18</v>
      </c>
      <c r="E165" s="7" t="s">
        <v>10</v>
      </c>
      <c r="F165" s="10">
        <v>40597</v>
      </c>
      <c r="G165" s="78"/>
      <c r="H165" s="10">
        <f t="shared" si="6"/>
        <v>40597</v>
      </c>
      <c r="I165" s="10"/>
      <c r="J165" s="10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>
      <c r="A166" s="75">
        <v>159</v>
      </c>
      <c r="B166" s="6" t="s">
        <v>428</v>
      </c>
      <c r="C166" s="7" t="s">
        <v>429</v>
      </c>
      <c r="D166" s="7" t="s">
        <v>18</v>
      </c>
      <c r="E166" s="7" t="s">
        <v>10</v>
      </c>
      <c r="F166" s="10">
        <v>10961</v>
      </c>
      <c r="G166" s="78"/>
      <c r="H166" s="10">
        <f t="shared" si="6"/>
        <v>10961</v>
      </c>
      <c r="I166" s="10"/>
      <c r="J166" s="10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4">
      <c r="A167" s="75">
        <v>160</v>
      </c>
      <c r="B167" s="6" t="s">
        <v>430</v>
      </c>
      <c r="C167" s="7" t="s">
        <v>431</v>
      </c>
      <c r="D167" s="7" t="s">
        <v>18</v>
      </c>
      <c r="E167" s="7" t="s">
        <v>10</v>
      </c>
      <c r="F167" s="10">
        <v>114361</v>
      </c>
      <c r="G167" s="78"/>
      <c r="H167" s="10">
        <f t="shared" si="6"/>
        <v>114361</v>
      </c>
      <c r="I167" s="10"/>
      <c r="J167" s="10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24">
      <c r="A168" s="75">
        <v>161</v>
      </c>
      <c r="B168" s="6" t="s">
        <v>432</v>
      </c>
      <c r="C168" s="7" t="s">
        <v>433</v>
      </c>
      <c r="D168" s="7" t="s">
        <v>18</v>
      </c>
      <c r="E168" s="7" t="s">
        <v>434</v>
      </c>
      <c r="F168" s="10"/>
      <c r="G168" s="29" t="s">
        <v>435</v>
      </c>
      <c r="H168" s="10">
        <f>128600</f>
        <v>128600</v>
      </c>
      <c r="I168" s="10"/>
      <c r="J168" s="10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>
      <c r="A169" s="75">
        <v>162</v>
      </c>
      <c r="B169" s="6" t="s">
        <v>436</v>
      </c>
      <c r="C169" s="7" t="s">
        <v>437</v>
      </c>
      <c r="D169" s="7" t="s">
        <v>18</v>
      </c>
      <c r="E169" s="7" t="s">
        <v>10</v>
      </c>
      <c r="F169" s="10">
        <v>28006</v>
      </c>
      <c r="G169" s="78"/>
      <c r="H169" s="10">
        <f aca="true" t="shared" si="7" ref="H169:H185">F169</f>
        <v>28006</v>
      </c>
      <c r="I169" s="10"/>
      <c r="J169" s="10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>
      <c r="A170" s="75">
        <v>163</v>
      </c>
      <c r="B170" s="6" t="s">
        <v>438</v>
      </c>
      <c r="C170" s="7" t="s">
        <v>439</v>
      </c>
      <c r="D170" s="7" t="s">
        <v>18</v>
      </c>
      <c r="E170" s="7" t="s">
        <v>10</v>
      </c>
      <c r="F170" s="10">
        <v>123017</v>
      </c>
      <c r="G170" s="78"/>
      <c r="H170" s="10">
        <f t="shared" si="7"/>
        <v>123017</v>
      </c>
      <c r="I170" s="10"/>
      <c r="J170" s="10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>
      <c r="A171" s="75">
        <v>164</v>
      </c>
      <c r="B171" s="38" t="s">
        <v>440</v>
      </c>
      <c r="C171" s="23" t="s">
        <v>441</v>
      </c>
      <c r="D171" s="7" t="s">
        <v>18</v>
      </c>
      <c r="E171" s="23" t="s">
        <v>10</v>
      </c>
      <c r="F171" s="10">
        <v>33656</v>
      </c>
      <c r="G171" s="78"/>
      <c r="H171" s="10">
        <f t="shared" si="7"/>
        <v>33656</v>
      </c>
      <c r="I171" s="10"/>
      <c r="J171" s="10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>
      <c r="A172" s="75">
        <v>165</v>
      </c>
      <c r="B172" s="38" t="s">
        <v>442</v>
      </c>
      <c r="C172" s="23" t="s">
        <v>443</v>
      </c>
      <c r="D172" s="7" t="s">
        <v>18</v>
      </c>
      <c r="E172" s="23" t="s">
        <v>10</v>
      </c>
      <c r="F172" s="10">
        <v>21999</v>
      </c>
      <c r="G172" s="78"/>
      <c r="H172" s="10">
        <f t="shared" si="7"/>
        <v>21999</v>
      </c>
      <c r="I172" s="10"/>
      <c r="J172" s="10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4">
      <c r="A173" s="75">
        <v>166</v>
      </c>
      <c r="B173" s="6" t="s">
        <v>444</v>
      </c>
      <c r="C173" s="7" t="s">
        <v>445</v>
      </c>
      <c r="D173" s="7" t="s">
        <v>18</v>
      </c>
      <c r="E173" s="7" t="s">
        <v>10</v>
      </c>
      <c r="F173" s="10">
        <v>81683</v>
      </c>
      <c r="G173" s="78"/>
      <c r="H173" s="10">
        <f t="shared" si="7"/>
        <v>81683</v>
      </c>
      <c r="I173" s="10"/>
      <c r="J173" s="10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24">
      <c r="A174" s="75">
        <v>167</v>
      </c>
      <c r="B174" s="6" t="s">
        <v>446</v>
      </c>
      <c r="C174" s="7" t="s">
        <v>447</v>
      </c>
      <c r="D174" s="7" t="s">
        <v>18</v>
      </c>
      <c r="E174" s="7" t="s">
        <v>10</v>
      </c>
      <c r="F174" s="10">
        <v>1597466</v>
      </c>
      <c r="G174" s="78"/>
      <c r="H174" s="10">
        <f t="shared" si="7"/>
        <v>1597466</v>
      </c>
      <c r="I174" s="10"/>
      <c r="J174" s="10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75">
        <v>168</v>
      </c>
      <c r="B175" s="6" t="s">
        <v>448</v>
      </c>
      <c r="C175" s="7" t="s">
        <v>449</v>
      </c>
      <c r="D175" s="7" t="s">
        <v>18</v>
      </c>
      <c r="E175" s="7" t="s">
        <v>10</v>
      </c>
      <c r="F175" s="10">
        <v>248222</v>
      </c>
      <c r="G175" s="78"/>
      <c r="H175" s="10">
        <f t="shared" si="7"/>
        <v>248222</v>
      </c>
      <c r="I175" s="10"/>
      <c r="J175" s="10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24">
      <c r="A176" s="75">
        <v>169</v>
      </c>
      <c r="B176" s="6" t="s">
        <v>450</v>
      </c>
      <c r="C176" s="7" t="s">
        <v>451</v>
      </c>
      <c r="D176" s="7" t="s">
        <v>18</v>
      </c>
      <c r="E176" s="7" t="s">
        <v>10</v>
      </c>
      <c r="F176" s="10">
        <v>249042</v>
      </c>
      <c r="G176" s="78"/>
      <c r="H176" s="10">
        <f t="shared" si="7"/>
        <v>249042</v>
      </c>
      <c r="I176" s="10"/>
      <c r="J176" s="10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24">
      <c r="A177" s="75">
        <v>170</v>
      </c>
      <c r="B177" s="6" t="s">
        <v>452</v>
      </c>
      <c r="C177" s="7" t="s">
        <v>453</v>
      </c>
      <c r="D177" s="7" t="s">
        <v>18</v>
      </c>
      <c r="E177" s="7" t="s">
        <v>10</v>
      </c>
      <c r="F177" s="10">
        <v>70838</v>
      </c>
      <c r="G177" s="78"/>
      <c r="H177" s="10">
        <f t="shared" si="7"/>
        <v>70838</v>
      </c>
      <c r="I177" s="10"/>
      <c r="J177" s="10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75">
        <v>171</v>
      </c>
      <c r="B178" s="13" t="s">
        <v>454</v>
      </c>
      <c r="C178" s="14" t="s">
        <v>455</v>
      </c>
      <c r="D178" s="14" t="s">
        <v>56</v>
      </c>
      <c r="E178" s="14" t="s">
        <v>10</v>
      </c>
      <c r="F178" s="15">
        <v>11023</v>
      </c>
      <c r="G178" s="16"/>
      <c r="H178" s="15">
        <f>F178</f>
        <v>11023</v>
      </c>
      <c r="I178" s="16"/>
      <c r="J178" s="16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75">
        <v>172</v>
      </c>
      <c r="B179" s="6" t="s">
        <v>456</v>
      </c>
      <c r="C179" s="39" t="s">
        <v>457</v>
      </c>
      <c r="D179" s="7" t="s">
        <v>18</v>
      </c>
      <c r="E179" s="7" t="s">
        <v>10</v>
      </c>
      <c r="F179" s="10">
        <v>442113</v>
      </c>
      <c r="G179" s="78"/>
      <c r="H179" s="10">
        <f t="shared" si="7"/>
        <v>442113</v>
      </c>
      <c r="I179" s="10"/>
      <c r="J179" s="10"/>
      <c r="K179" s="90"/>
      <c r="L179" s="90"/>
      <c r="M179" s="1"/>
      <c r="N179" s="1"/>
      <c r="O179" s="1"/>
      <c r="P179" s="1"/>
      <c r="Q179" s="1"/>
      <c r="R179" s="1"/>
      <c r="S179" s="1"/>
    </row>
    <row r="180" spans="1:19" ht="24">
      <c r="A180" s="75">
        <v>173</v>
      </c>
      <c r="B180" s="6" t="s">
        <v>458</v>
      </c>
      <c r="C180" s="39" t="s">
        <v>459</v>
      </c>
      <c r="D180" s="7" t="s">
        <v>18</v>
      </c>
      <c r="E180" s="7" t="s">
        <v>460</v>
      </c>
      <c r="F180" s="10">
        <v>11303</v>
      </c>
      <c r="G180" s="18" t="s">
        <v>461</v>
      </c>
      <c r="H180" s="10">
        <f>F180+110400+9600</f>
        <v>131303</v>
      </c>
      <c r="I180" s="10"/>
      <c r="J180" s="10"/>
      <c r="K180" s="90"/>
      <c r="L180" s="90"/>
      <c r="M180" s="1"/>
      <c r="N180" s="1"/>
      <c r="O180" s="1"/>
      <c r="P180" s="1"/>
      <c r="Q180" s="1"/>
      <c r="R180" s="1"/>
      <c r="S180" s="1"/>
    </row>
    <row r="181" spans="1:19" ht="24">
      <c r="A181" s="75">
        <v>174</v>
      </c>
      <c r="B181" s="6" t="s">
        <v>462</v>
      </c>
      <c r="C181" s="39" t="s">
        <v>463</v>
      </c>
      <c r="D181" s="7" t="s">
        <v>18</v>
      </c>
      <c r="E181" s="7" t="s">
        <v>10</v>
      </c>
      <c r="F181" s="10">
        <v>11303</v>
      </c>
      <c r="G181" s="78"/>
      <c r="H181" s="10">
        <f t="shared" si="7"/>
        <v>11303</v>
      </c>
      <c r="I181" s="10"/>
      <c r="J181" s="10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75">
        <v>175</v>
      </c>
      <c r="B182" s="6" t="s">
        <v>464</v>
      </c>
      <c r="C182" s="39" t="s">
        <v>465</v>
      </c>
      <c r="D182" s="7" t="s">
        <v>18</v>
      </c>
      <c r="E182" s="7" t="s">
        <v>10</v>
      </c>
      <c r="F182" s="10">
        <v>11303</v>
      </c>
      <c r="G182" s="78"/>
      <c r="H182" s="10">
        <f t="shared" si="7"/>
        <v>11303</v>
      </c>
      <c r="I182" s="10"/>
      <c r="J182" s="10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75">
        <v>176</v>
      </c>
      <c r="B183" s="6" t="s">
        <v>466</v>
      </c>
      <c r="C183" s="39" t="s">
        <v>467</v>
      </c>
      <c r="D183" s="7" t="s">
        <v>18</v>
      </c>
      <c r="E183" s="7" t="s">
        <v>10</v>
      </c>
      <c r="F183" s="10">
        <v>11303</v>
      </c>
      <c r="G183" s="78"/>
      <c r="H183" s="10">
        <f t="shared" si="7"/>
        <v>11303</v>
      </c>
      <c r="I183" s="10"/>
      <c r="J183" s="10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75">
        <v>177</v>
      </c>
      <c r="B184" s="6" t="s">
        <v>468</v>
      </c>
      <c r="C184" s="40" t="s">
        <v>469</v>
      </c>
      <c r="D184" s="7" t="s">
        <v>18</v>
      </c>
      <c r="E184" s="7" t="s">
        <v>10</v>
      </c>
      <c r="F184" s="10">
        <v>11303</v>
      </c>
      <c r="G184" s="78"/>
      <c r="H184" s="10">
        <f t="shared" si="7"/>
        <v>11303</v>
      </c>
      <c r="I184" s="10"/>
      <c r="J184" s="10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75">
        <v>178</v>
      </c>
      <c r="B185" s="6" t="s">
        <v>470</v>
      </c>
      <c r="C185" s="39" t="s">
        <v>471</v>
      </c>
      <c r="D185" s="7" t="s">
        <v>18</v>
      </c>
      <c r="E185" s="7" t="s">
        <v>10</v>
      </c>
      <c r="F185" s="10">
        <v>11303</v>
      </c>
      <c r="G185" s="78"/>
      <c r="H185" s="10">
        <f t="shared" si="7"/>
        <v>11303</v>
      </c>
      <c r="I185" s="10"/>
      <c r="J185" s="10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75">
        <v>179</v>
      </c>
      <c r="B186" s="6" t="s">
        <v>472</v>
      </c>
      <c r="C186" s="39" t="s">
        <v>473</v>
      </c>
      <c r="D186" s="7" t="s">
        <v>18</v>
      </c>
      <c r="E186" s="7" t="s">
        <v>474</v>
      </c>
      <c r="G186" s="29" t="s">
        <v>475</v>
      </c>
      <c r="H186" s="10">
        <f>236160+6765</f>
        <v>242925</v>
      </c>
      <c r="I186" s="10"/>
      <c r="J186" s="10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75">
        <v>180</v>
      </c>
      <c r="B187" s="6" t="s">
        <v>476</v>
      </c>
      <c r="C187" s="7" t="s">
        <v>477</v>
      </c>
      <c r="D187" s="7" t="s">
        <v>18</v>
      </c>
      <c r="E187" s="7" t="s">
        <v>10</v>
      </c>
      <c r="F187" s="10">
        <v>158832</v>
      </c>
      <c r="G187" s="78"/>
      <c r="H187" s="10">
        <f>F187</f>
        <v>158832</v>
      </c>
      <c r="I187" s="10"/>
      <c r="J187" s="10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36">
      <c r="A188" s="75">
        <v>181</v>
      </c>
      <c r="B188" s="6" t="s">
        <v>478</v>
      </c>
      <c r="C188" s="7" t="s">
        <v>479</v>
      </c>
      <c r="D188" s="7" t="s">
        <v>18</v>
      </c>
      <c r="E188" s="7" t="s">
        <v>480</v>
      </c>
      <c r="F188" s="10">
        <v>97033</v>
      </c>
      <c r="G188" s="29" t="s">
        <v>481</v>
      </c>
      <c r="H188" s="10">
        <f>F188+207964</f>
        <v>304997</v>
      </c>
      <c r="I188" s="10"/>
      <c r="J188" s="10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24">
      <c r="A189" s="75">
        <v>182</v>
      </c>
      <c r="B189" s="6" t="s">
        <v>482</v>
      </c>
      <c r="C189" s="7" t="s">
        <v>483</v>
      </c>
      <c r="D189" s="7" t="s">
        <v>18</v>
      </c>
      <c r="E189" s="7" t="s">
        <v>10</v>
      </c>
      <c r="F189" s="10">
        <v>13158</v>
      </c>
      <c r="G189" s="78"/>
      <c r="H189" s="10">
        <f>F189</f>
        <v>13158</v>
      </c>
      <c r="I189" s="10"/>
      <c r="J189" s="10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36">
      <c r="A190" s="75">
        <v>183</v>
      </c>
      <c r="B190" s="6" t="s">
        <v>484</v>
      </c>
      <c r="C190" s="7" t="s">
        <v>485</v>
      </c>
      <c r="D190" s="7" t="s">
        <v>18</v>
      </c>
      <c r="E190" s="7" t="s">
        <v>480</v>
      </c>
      <c r="F190" s="10">
        <v>180549</v>
      </c>
      <c r="G190" s="29" t="s">
        <v>486</v>
      </c>
      <c r="H190" s="10">
        <f>F190+5669210</f>
        <v>5849759</v>
      </c>
      <c r="I190" s="10"/>
      <c r="J190" s="10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24">
      <c r="A191" s="75">
        <v>184</v>
      </c>
      <c r="B191" s="6" t="s">
        <v>487</v>
      </c>
      <c r="C191" s="7" t="s">
        <v>488</v>
      </c>
      <c r="D191" s="7" t="s">
        <v>18</v>
      </c>
      <c r="E191" s="7" t="s">
        <v>480</v>
      </c>
      <c r="F191" s="10">
        <v>212890</v>
      </c>
      <c r="G191" s="18"/>
      <c r="H191" s="21">
        <f>F191</f>
        <v>212890</v>
      </c>
      <c r="I191" s="10"/>
      <c r="J191" s="10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75">
        <v>185</v>
      </c>
      <c r="B192" s="6" t="s">
        <v>489</v>
      </c>
      <c r="C192" s="7" t="s">
        <v>490</v>
      </c>
      <c r="D192" s="7" t="s">
        <v>18</v>
      </c>
      <c r="E192" s="7" t="s">
        <v>491</v>
      </c>
      <c r="F192" s="10">
        <v>1300513</v>
      </c>
      <c r="G192" s="18" t="s">
        <v>492</v>
      </c>
      <c r="H192" s="10">
        <f aca="true" t="shared" si="8" ref="H192:H238">F192</f>
        <v>1300513</v>
      </c>
      <c r="I192" s="10"/>
      <c r="J192" s="10">
        <f>50000+30000</f>
        <v>80000</v>
      </c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75">
        <v>186</v>
      </c>
      <c r="B193" s="6" t="s">
        <v>493</v>
      </c>
      <c r="C193" s="7" t="s">
        <v>494</v>
      </c>
      <c r="D193" s="7" t="s">
        <v>18</v>
      </c>
      <c r="E193" s="7" t="s">
        <v>495</v>
      </c>
      <c r="F193" s="10">
        <v>307341</v>
      </c>
      <c r="G193" s="18"/>
      <c r="H193" s="10">
        <f>F193</f>
        <v>307341</v>
      </c>
      <c r="I193" s="10"/>
      <c r="J193" s="10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75">
        <v>187</v>
      </c>
      <c r="B194" s="6" t="s">
        <v>496</v>
      </c>
      <c r="C194" s="7" t="s">
        <v>497</v>
      </c>
      <c r="D194" s="7" t="s">
        <v>18</v>
      </c>
      <c r="E194" s="7" t="s">
        <v>10</v>
      </c>
      <c r="F194" s="10">
        <v>130285</v>
      </c>
      <c r="G194" s="18"/>
      <c r="H194" s="10">
        <f aca="true" t="shared" si="9" ref="H194:H199">F194</f>
        <v>130285</v>
      </c>
      <c r="I194" s="10"/>
      <c r="J194" s="10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75">
        <v>188</v>
      </c>
      <c r="B195" s="6" t="s">
        <v>498</v>
      </c>
      <c r="C195" s="7" t="s">
        <v>499</v>
      </c>
      <c r="D195" s="7" t="s">
        <v>18</v>
      </c>
      <c r="E195" s="7" t="s">
        <v>10</v>
      </c>
      <c r="F195" s="10">
        <v>70110</v>
      </c>
      <c r="G195" s="18"/>
      <c r="H195" s="10">
        <f t="shared" si="9"/>
        <v>70110</v>
      </c>
      <c r="I195" s="10"/>
      <c r="J195" s="10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24">
      <c r="A196" s="75">
        <v>189</v>
      </c>
      <c r="B196" s="6" t="s">
        <v>500</v>
      </c>
      <c r="C196" s="7" t="s">
        <v>501</v>
      </c>
      <c r="D196" s="7" t="s">
        <v>18</v>
      </c>
      <c r="E196" s="7" t="s">
        <v>502</v>
      </c>
      <c r="G196" s="41" t="s">
        <v>503</v>
      </c>
      <c r="H196" s="10"/>
      <c r="I196" s="10"/>
      <c r="J196" s="10">
        <f>32000+10000</f>
        <v>42000</v>
      </c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75">
        <v>190</v>
      </c>
      <c r="B197" s="6" t="s">
        <v>504</v>
      </c>
      <c r="C197" s="7" t="s">
        <v>505</v>
      </c>
      <c r="D197" s="7" t="s">
        <v>18</v>
      </c>
      <c r="E197" s="7" t="s">
        <v>10</v>
      </c>
      <c r="F197" s="10">
        <v>7086</v>
      </c>
      <c r="G197" s="18"/>
      <c r="H197" s="10">
        <f t="shared" si="9"/>
        <v>7086</v>
      </c>
      <c r="I197" s="10"/>
      <c r="J197" s="10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75">
        <v>191</v>
      </c>
      <c r="B198" s="6" t="s">
        <v>506</v>
      </c>
      <c r="C198" s="7" t="s">
        <v>507</v>
      </c>
      <c r="D198" s="7" t="s">
        <v>18</v>
      </c>
      <c r="E198" s="7" t="s">
        <v>10</v>
      </c>
      <c r="F198" s="10">
        <v>40152</v>
      </c>
      <c r="G198" s="18"/>
      <c r="H198" s="10">
        <f t="shared" si="9"/>
        <v>40152</v>
      </c>
      <c r="I198" s="10"/>
      <c r="J198" s="10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24">
      <c r="A199" s="75">
        <v>192</v>
      </c>
      <c r="B199" s="6" t="s">
        <v>508</v>
      </c>
      <c r="C199" s="7" t="s">
        <v>509</v>
      </c>
      <c r="D199" s="7" t="s">
        <v>18</v>
      </c>
      <c r="E199" s="7" t="s">
        <v>10</v>
      </c>
      <c r="F199" s="10">
        <v>70508</v>
      </c>
      <c r="G199" s="18"/>
      <c r="H199" s="10">
        <f t="shared" si="9"/>
        <v>70508</v>
      </c>
      <c r="I199" s="10"/>
      <c r="J199" s="10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36">
      <c r="A200" s="75">
        <v>193</v>
      </c>
      <c r="B200" s="6" t="s">
        <v>510</v>
      </c>
      <c r="C200" s="7" t="s">
        <v>511</v>
      </c>
      <c r="D200" s="7" t="s">
        <v>18</v>
      </c>
      <c r="E200" s="7" t="s">
        <v>10</v>
      </c>
      <c r="F200" s="10">
        <v>5039038</v>
      </c>
      <c r="G200" s="78"/>
      <c r="H200" s="10">
        <f t="shared" si="8"/>
        <v>5039038</v>
      </c>
      <c r="I200" s="10"/>
      <c r="J200" s="10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24">
      <c r="A201" s="75">
        <v>194</v>
      </c>
      <c r="B201" s="6" t="s">
        <v>512</v>
      </c>
      <c r="C201" s="7" t="s">
        <v>513</v>
      </c>
      <c r="D201" s="7" t="s">
        <v>18</v>
      </c>
      <c r="E201" s="7" t="s">
        <v>10</v>
      </c>
      <c r="F201" s="10">
        <v>6912201</v>
      </c>
      <c r="G201" s="78"/>
      <c r="H201" s="10">
        <f t="shared" si="8"/>
        <v>6912201</v>
      </c>
      <c r="I201" s="10"/>
      <c r="J201" s="10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24">
      <c r="A202" s="75">
        <v>195</v>
      </c>
      <c r="B202" s="6" t="s">
        <v>514</v>
      </c>
      <c r="C202" s="7" t="s">
        <v>515</v>
      </c>
      <c r="D202" s="7" t="s">
        <v>18</v>
      </c>
      <c r="E202" s="7" t="s">
        <v>10</v>
      </c>
      <c r="F202" s="10">
        <v>7963931</v>
      </c>
      <c r="G202" s="78"/>
      <c r="H202" s="10">
        <f t="shared" si="8"/>
        <v>7963931</v>
      </c>
      <c r="I202" s="10"/>
      <c r="J202" s="10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75">
        <v>196</v>
      </c>
      <c r="B203" s="6" t="s">
        <v>516</v>
      </c>
      <c r="C203" s="7" t="s">
        <v>517</v>
      </c>
      <c r="D203" s="7" t="s">
        <v>18</v>
      </c>
      <c r="E203" s="7" t="s">
        <v>10</v>
      </c>
      <c r="F203" s="10">
        <v>1292222</v>
      </c>
      <c r="G203" s="78"/>
      <c r="H203" s="10">
        <f t="shared" si="8"/>
        <v>1292222</v>
      </c>
      <c r="I203" s="10"/>
      <c r="J203" s="10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75">
        <v>197</v>
      </c>
      <c r="B204" s="6" t="s">
        <v>518</v>
      </c>
      <c r="C204" s="7" t="s">
        <v>519</v>
      </c>
      <c r="D204" s="7" t="s">
        <v>18</v>
      </c>
      <c r="E204" s="7" t="s">
        <v>10</v>
      </c>
      <c r="F204" s="10">
        <v>1954089</v>
      </c>
      <c r="G204" s="78"/>
      <c r="H204" s="10">
        <f t="shared" si="8"/>
        <v>1954089</v>
      </c>
      <c r="I204" s="10"/>
      <c r="J204" s="10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75">
        <v>198</v>
      </c>
      <c r="B205" s="6" t="s">
        <v>520</v>
      </c>
      <c r="C205" s="7" t="s">
        <v>521</v>
      </c>
      <c r="D205" s="7" t="s">
        <v>18</v>
      </c>
      <c r="E205" s="7" t="s">
        <v>10</v>
      </c>
      <c r="F205" s="10">
        <v>1464904</v>
      </c>
      <c r="G205" s="78"/>
      <c r="H205" s="10">
        <f t="shared" si="8"/>
        <v>1464904</v>
      </c>
      <c r="I205" s="10"/>
      <c r="J205" s="10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24">
      <c r="A206" s="75">
        <v>199</v>
      </c>
      <c r="B206" s="6" t="s">
        <v>522</v>
      </c>
      <c r="C206" s="7" t="s">
        <v>523</v>
      </c>
      <c r="D206" s="7" t="s">
        <v>18</v>
      </c>
      <c r="E206" s="7" t="s">
        <v>10</v>
      </c>
      <c r="F206" s="10">
        <v>463630</v>
      </c>
      <c r="G206" s="78"/>
      <c r="H206" s="10">
        <f t="shared" si="8"/>
        <v>463630</v>
      </c>
      <c r="I206" s="10"/>
      <c r="J206" s="10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75">
        <v>200</v>
      </c>
      <c r="B207" s="6" t="s">
        <v>524</v>
      </c>
      <c r="C207" s="7" t="s">
        <v>525</v>
      </c>
      <c r="D207" s="7" t="s">
        <v>18</v>
      </c>
      <c r="E207" s="7" t="s">
        <v>10</v>
      </c>
      <c r="F207" s="10">
        <v>93618</v>
      </c>
      <c r="G207" s="78"/>
      <c r="H207" s="10">
        <f t="shared" si="8"/>
        <v>93618</v>
      </c>
      <c r="I207" s="10"/>
      <c r="J207" s="10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75">
        <v>201</v>
      </c>
      <c r="B208" s="6" t="s">
        <v>526</v>
      </c>
      <c r="C208" s="7" t="s">
        <v>527</v>
      </c>
      <c r="D208" s="7" t="s">
        <v>18</v>
      </c>
      <c r="E208" s="7" t="s">
        <v>10</v>
      </c>
      <c r="F208" s="10">
        <v>937529</v>
      </c>
      <c r="G208" s="78"/>
      <c r="H208" s="10">
        <f t="shared" si="8"/>
        <v>937529</v>
      </c>
      <c r="I208" s="10"/>
      <c r="J208" s="10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24">
      <c r="A209" s="75">
        <v>202</v>
      </c>
      <c r="B209" s="6" t="s">
        <v>528</v>
      </c>
      <c r="C209" s="7" t="s">
        <v>529</v>
      </c>
      <c r="D209" s="7" t="s">
        <v>18</v>
      </c>
      <c r="E209" s="7" t="s">
        <v>10</v>
      </c>
      <c r="F209" s="10">
        <v>1106490</v>
      </c>
      <c r="G209" s="78"/>
      <c r="H209" s="10">
        <f t="shared" si="8"/>
        <v>1106490</v>
      </c>
      <c r="I209" s="10"/>
      <c r="J209" s="10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24">
      <c r="A210" s="75">
        <v>203</v>
      </c>
      <c r="B210" s="42" t="s">
        <v>530</v>
      </c>
      <c r="C210" s="17" t="s">
        <v>531</v>
      </c>
      <c r="D210" s="17" t="s">
        <v>18</v>
      </c>
      <c r="E210" s="17" t="s">
        <v>10</v>
      </c>
      <c r="F210" s="43">
        <v>339185</v>
      </c>
      <c r="G210" s="44"/>
      <c r="H210" s="21">
        <f t="shared" si="8"/>
        <v>339185</v>
      </c>
      <c r="I210" s="44"/>
      <c r="J210" s="44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24">
      <c r="A211" s="75">
        <v>204</v>
      </c>
      <c r="B211" s="24" t="s">
        <v>532</v>
      </c>
      <c r="C211" s="25" t="s">
        <v>533</v>
      </c>
      <c r="D211" s="25" t="s">
        <v>534</v>
      </c>
      <c r="E211" s="25" t="s">
        <v>10</v>
      </c>
      <c r="F211" s="26">
        <v>63384</v>
      </c>
      <c r="G211" s="28"/>
      <c r="H211" s="27">
        <f>F211</f>
        <v>63384</v>
      </c>
      <c r="I211" s="28"/>
      <c r="J211" s="28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75">
        <v>205</v>
      </c>
      <c r="B212" s="6" t="s">
        <v>535</v>
      </c>
      <c r="C212" s="7" t="s">
        <v>536</v>
      </c>
      <c r="D212" s="7" t="s">
        <v>18</v>
      </c>
      <c r="E212" s="7" t="s">
        <v>10</v>
      </c>
      <c r="F212" s="10">
        <v>121133</v>
      </c>
      <c r="G212" s="78"/>
      <c r="H212" s="10">
        <f t="shared" si="8"/>
        <v>121133</v>
      </c>
      <c r="I212" s="10"/>
      <c r="J212" s="45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24">
      <c r="A213" s="75">
        <v>206</v>
      </c>
      <c r="B213" s="6" t="s">
        <v>537</v>
      </c>
      <c r="C213" s="7" t="s">
        <v>538</v>
      </c>
      <c r="D213" s="7" t="s">
        <v>18</v>
      </c>
      <c r="E213" s="7" t="s">
        <v>539</v>
      </c>
      <c r="F213" s="10">
        <v>47632</v>
      </c>
      <c r="G213" s="29" t="s">
        <v>540</v>
      </c>
      <c r="H213" s="10">
        <f t="shared" si="8"/>
        <v>47632</v>
      </c>
      <c r="I213" s="46">
        <f>69000</f>
        <v>69000</v>
      </c>
      <c r="J213" s="47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24">
      <c r="A214" s="75">
        <v>207</v>
      </c>
      <c r="B214" s="6" t="s">
        <v>541</v>
      </c>
      <c r="C214" s="7" t="s">
        <v>542</v>
      </c>
      <c r="D214" s="7" t="s">
        <v>18</v>
      </c>
      <c r="E214" s="7" t="s">
        <v>10</v>
      </c>
      <c r="F214" s="10">
        <v>39365</v>
      </c>
      <c r="G214" s="78"/>
      <c r="H214" s="10">
        <f t="shared" si="8"/>
        <v>39365</v>
      </c>
      <c r="I214" s="46"/>
      <c r="J214" s="47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75">
        <v>208</v>
      </c>
      <c r="B215" s="6" t="s">
        <v>543</v>
      </c>
      <c r="C215" s="7" t="s">
        <v>544</v>
      </c>
      <c r="D215" s="7" t="s">
        <v>18</v>
      </c>
      <c r="E215" s="7" t="s">
        <v>10</v>
      </c>
      <c r="F215" s="10">
        <v>43100</v>
      </c>
      <c r="G215" s="78"/>
      <c r="H215" s="10">
        <f t="shared" si="8"/>
        <v>43100</v>
      </c>
      <c r="I215" s="46"/>
      <c r="J215" s="47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48">
      <c r="A216" s="75">
        <v>209</v>
      </c>
      <c r="B216" s="6" t="s">
        <v>545</v>
      </c>
      <c r="C216" s="17" t="s">
        <v>546</v>
      </c>
      <c r="D216" s="7" t="s">
        <v>18</v>
      </c>
      <c r="E216" s="7" t="s">
        <v>539</v>
      </c>
      <c r="F216" s="10">
        <v>39365</v>
      </c>
      <c r="G216" s="29" t="s">
        <v>547</v>
      </c>
      <c r="H216" s="10">
        <f t="shared" si="8"/>
        <v>39365</v>
      </c>
      <c r="I216" s="46">
        <f>11074</f>
        <v>11074</v>
      </c>
      <c r="J216" s="47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24">
      <c r="A217" s="75">
        <v>210</v>
      </c>
      <c r="B217" s="6" t="s">
        <v>548</v>
      </c>
      <c r="C217" s="7" t="s">
        <v>549</v>
      </c>
      <c r="D217" s="7" t="s">
        <v>18</v>
      </c>
      <c r="E217" s="7" t="s">
        <v>10</v>
      </c>
      <c r="F217" s="10">
        <v>145488</v>
      </c>
      <c r="G217" s="78"/>
      <c r="H217" s="10">
        <f t="shared" si="8"/>
        <v>145488</v>
      </c>
      <c r="I217" s="48"/>
      <c r="J217" s="49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24">
      <c r="A218" s="75">
        <v>211</v>
      </c>
      <c r="B218" s="6" t="s">
        <v>550</v>
      </c>
      <c r="C218" s="7" t="s">
        <v>551</v>
      </c>
      <c r="D218" s="7" t="s">
        <v>18</v>
      </c>
      <c r="E218" s="7" t="s">
        <v>10</v>
      </c>
      <c r="F218" s="10">
        <v>95200</v>
      </c>
      <c r="G218" s="78"/>
      <c r="H218" s="10">
        <f t="shared" si="8"/>
        <v>95200</v>
      </c>
      <c r="I218" s="10"/>
      <c r="J218" s="50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12.75">
      <c r="A219" s="75">
        <v>212</v>
      </c>
      <c r="B219" s="6" t="s">
        <v>552</v>
      </c>
      <c r="C219" s="7" t="s">
        <v>553</v>
      </c>
      <c r="D219" s="7" t="s">
        <v>18</v>
      </c>
      <c r="E219" s="7" t="s">
        <v>10</v>
      </c>
      <c r="F219" s="10">
        <v>184331</v>
      </c>
      <c r="G219" s="78"/>
      <c r="H219" s="10">
        <f t="shared" si="8"/>
        <v>184331</v>
      </c>
      <c r="I219" s="10"/>
      <c r="J219" s="10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24">
      <c r="A220" s="75">
        <v>213</v>
      </c>
      <c r="B220" s="6" t="s">
        <v>554</v>
      </c>
      <c r="C220" s="7" t="s">
        <v>555</v>
      </c>
      <c r="D220" s="7" t="s">
        <v>18</v>
      </c>
      <c r="E220" s="7" t="s">
        <v>10</v>
      </c>
      <c r="F220" s="10">
        <v>95075</v>
      </c>
      <c r="G220" s="78"/>
      <c r="H220" s="10">
        <f t="shared" si="8"/>
        <v>95075</v>
      </c>
      <c r="I220" s="10"/>
      <c r="J220" s="10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24">
      <c r="A221" s="75">
        <v>214</v>
      </c>
      <c r="B221" s="6" t="s">
        <v>556</v>
      </c>
      <c r="C221" s="7" t="s">
        <v>557</v>
      </c>
      <c r="D221" s="7" t="s">
        <v>18</v>
      </c>
      <c r="E221" s="7" t="s">
        <v>10</v>
      </c>
      <c r="F221" s="10">
        <v>39365</v>
      </c>
      <c r="G221" s="78"/>
      <c r="H221" s="10">
        <f t="shared" si="8"/>
        <v>39365</v>
      </c>
      <c r="I221" s="10"/>
      <c r="J221" s="5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0" ht="12.75">
      <c r="A222" s="75">
        <v>215</v>
      </c>
      <c r="B222" s="6" t="s">
        <v>558</v>
      </c>
      <c r="C222" s="52" t="s">
        <v>559</v>
      </c>
      <c r="D222" s="7" t="s">
        <v>18</v>
      </c>
      <c r="E222" s="7" t="s">
        <v>10</v>
      </c>
      <c r="F222" s="10">
        <v>75063</v>
      </c>
      <c r="G222" s="78"/>
      <c r="H222" s="10">
        <f t="shared" si="8"/>
        <v>75063</v>
      </c>
      <c r="I222" s="10"/>
      <c r="J222" s="10"/>
    </row>
    <row r="223" spans="1:10" ht="12.75">
      <c r="A223" s="75">
        <v>216</v>
      </c>
      <c r="B223" s="6" t="s">
        <v>560</v>
      </c>
      <c r="C223" s="7" t="s">
        <v>561</v>
      </c>
      <c r="D223" s="7" t="s">
        <v>18</v>
      </c>
      <c r="E223" s="7" t="s">
        <v>10</v>
      </c>
      <c r="F223" s="10">
        <v>1218480</v>
      </c>
      <c r="G223" s="78"/>
      <c r="H223" s="10">
        <f t="shared" si="8"/>
        <v>1218480</v>
      </c>
      <c r="I223" s="10"/>
      <c r="J223" s="10"/>
    </row>
    <row r="224" spans="1:10" ht="24">
      <c r="A224" s="75">
        <v>217</v>
      </c>
      <c r="B224" s="6" t="s">
        <v>562</v>
      </c>
      <c r="C224" s="7" t="s">
        <v>563</v>
      </c>
      <c r="D224" s="7" t="s">
        <v>18</v>
      </c>
      <c r="E224" s="7" t="s">
        <v>10</v>
      </c>
      <c r="F224" s="10">
        <v>2081631</v>
      </c>
      <c r="G224" s="78"/>
      <c r="H224" s="10">
        <f t="shared" si="8"/>
        <v>2081631</v>
      </c>
      <c r="I224" s="10"/>
      <c r="J224" s="10"/>
    </row>
    <row r="225" spans="1:10" ht="24">
      <c r="A225" s="75">
        <v>218</v>
      </c>
      <c r="B225" s="6" t="s">
        <v>564</v>
      </c>
      <c r="C225" s="7" t="s">
        <v>565</v>
      </c>
      <c r="D225" s="7" t="s">
        <v>18</v>
      </c>
      <c r="E225" s="7" t="s">
        <v>10</v>
      </c>
      <c r="F225" s="10">
        <v>374611</v>
      </c>
      <c r="G225" s="78"/>
      <c r="H225" s="10">
        <f t="shared" si="8"/>
        <v>374611</v>
      </c>
      <c r="I225" s="10"/>
      <c r="J225" s="10"/>
    </row>
    <row r="226" spans="1:10" ht="24">
      <c r="A226" s="75">
        <v>219</v>
      </c>
      <c r="B226" s="6" t="s">
        <v>566</v>
      </c>
      <c r="C226" s="7" t="s">
        <v>567</v>
      </c>
      <c r="D226" s="7" t="s">
        <v>18</v>
      </c>
      <c r="E226" s="7" t="s">
        <v>10</v>
      </c>
      <c r="F226" s="10">
        <v>340867</v>
      </c>
      <c r="G226" s="78"/>
      <c r="H226" s="10">
        <f t="shared" si="8"/>
        <v>340867</v>
      </c>
      <c r="I226" s="10"/>
      <c r="J226" s="10"/>
    </row>
    <row r="227" spans="1:10" ht="24">
      <c r="A227" s="75">
        <v>220</v>
      </c>
      <c r="B227" s="6" t="s">
        <v>568</v>
      </c>
      <c r="C227" s="7" t="s">
        <v>569</v>
      </c>
      <c r="D227" s="7" t="s">
        <v>18</v>
      </c>
      <c r="E227" s="7" t="s">
        <v>10</v>
      </c>
      <c r="F227" s="10">
        <v>110924</v>
      </c>
      <c r="G227" s="78"/>
      <c r="H227" s="10">
        <f t="shared" si="8"/>
        <v>110924</v>
      </c>
      <c r="I227" s="10"/>
      <c r="J227" s="10"/>
    </row>
    <row r="228" spans="1:10" ht="12.75">
      <c r="A228" s="75">
        <v>221</v>
      </c>
      <c r="B228" s="6" t="s">
        <v>570</v>
      </c>
      <c r="C228" s="7" t="s">
        <v>571</v>
      </c>
      <c r="D228" s="7" t="s">
        <v>18</v>
      </c>
      <c r="E228" s="7" t="s">
        <v>10</v>
      </c>
      <c r="F228" s="10">
        <v>14290353</v>
      </c>
      <c r="G228" s="78"/>
      <c r="H228" s="10">
        <f t="shared" si="8"/>
        <v>14290353</v>
      </c>
      <c r="I228" s="10"/>
      <c r="J228" s="10"/>
    </row>
    <row r="229" spans="1:10" ht="24">
      <c r="A229" s="75">
        <v>222</v>
      </c>
      <c r="B229" s="6" t="s">
        <v>572</v>
      </c>
      <c r="C229" s="7" t="s">
        <v>573</v>
      </c>
      <c r="D229" s="7" t="s">
        <v>18</v>
      </c>
      <c r="E229" s="7" t="s">
        <v>10</v>
      </c>
      <c r="F229" s="10">
        <v>2451488</v>
      </c>
      <c r="G229" s="78"/>
      <c r="H229" s="10">
        <f t="shared" si="8"/>
        <v>2451488</v>
      </c>
      <c r="I229" s="10"/>
      <c r="J229" s="10"/>
    </row>
    <row r="230" spans="1:10" ht="24">
      <c r="A230" s="75">
        <v>223</v>
      </c>
      <c r="B230" s="6" t="s">
        <v>574</v>
      </c>
      <c r="C230" s="7" t="s">
        <v>575</v>
      </c>
      <c r="D230" s="7" t="s">
        <v>18</v>
      </c>
      <c r="E230" s="7" t="s">
        <v>10</v>
      </c>
      <c r="F230" s="10">
        <v>582630</v>
      </c>
      <c r="G230" s="78"/>
      <c r="H230" s="10">
        <f t="shared" si="8"/>
        <v>582630</v>
      </c>
      <c r="I230" s="10"/>
      <c r="J230" s="10"/>
    </row>
    <row r="231" spans="1:10" ht="24">
      <c r="A231" s="75">
        <v>224</v>
      </c>
      <c r="B231" s="6" t="s">
        <v>576</v>
      </c>
      <c r="C231" s="7" t="s">
        <v>577</v>
      </c>
      <c r="D231" s="7" t="s">
        <v>18</v>
      </c>
      <c r="E231" s="7" t="s">
        <v>10</v>
      </c>
      <c r="F231" s="10">
        <v>78506</v>
      </c>
      <c r="G231" s="78"/>
      <c r="H231" s="10">
        <f t="shared" si="8"/>
        <v>78506</v>
      </c>
      <c r="I231" s="10"/>
      <c r="J231" s="10"/>
    </row>
    <row r="232" spans="1:10" ht="12.75">
      <c r="A232" s="75">
        <v>225</v>
      </c>
      <c r="B232" s="6" t="s">
        <v>578</v>
      </c>
      <c r="C232" s="7" t="s">
        <v>579</v>
      </c>
      <c r="D232" s="7" t="s">
        <v>18</v>
      </c>
      <c r="E232" s="7" t="s">
        <v>197</v>
      </c>
      <c r="F232" s="10"/>
      <c r="G232" s="18" t="s">
        <v>580</v>
      </c>
      <c r="H232" s="10">
        <f t="shared" si="8"/>
        <v>0</v>
      </c>
      <c r="I232" s="10"/>
      <c r="J232" s="10">
        <f>60700+7300</f>
        <v>68000</v>
      </c>
    </row>
    <row r="233" spans="1:10" ht="12.75">
      <c r="A233" s="75">
        <v>226</v>
      </c>
      <c r="B233" s="6" t="s">
        <v>581</v>
      </c>
      <c r="C233" s="7" t="s">
        <v>582</v>
      </c>
      <c r="D233" s="7" t="s">
        <v>18</v>
      </c>
      <c r="E233" s="7" t="s">
        <v>197</v>
      </c>
      <c r="F233" s="10"/>
      <c r="G233" s="18" t="s">
        <v>583</v>
      </c>
      <c r="H233" s="10">
        <f t="shared" si="8"/>
        <v>0</v>
      </c>
      <c r="I233" s="10"/>
      <c r="J233" s="10">
        <f>54400+6300</f>
        <v>60700</v>
      </c>
    </row>
    <row r="234" spans="1:10" ht="12.75">
      <c r="A234" s="75">
        <v>227</v>
      </c>
      <c r="B234" s="6" t="s">
        <v>584</v>
      </c>
      <c r="C234" s="7" t="s">
        <v>585</v>
      </c>
      <c r="D234" s="7" t="s">
        <v>18</v>
      </c>
      <c r="E234" s="7" t="s">
        <v>10</v>
      </c>
      <c r="F234" s="10">
        <v>693503</v>
      </c>
      <c r="G234" s="78"/>
      <c r="H234" s="10">
        <f t="shared" si="8"/>
        <v>693503</v>
      </c>
      <c r="I234" s="10"/>
      <c r="J234" s="10"/>
    </row>
    <row r="235" spans="1:10" ht="12.75">
      <c r="A235" s="75">
        <v>228</v>
      </c>
      <c r="B235" s="6" t="s">
        <v>586</v>
      </c>
      <c r="C235" s="7" t="s">
        <v>587</v>
      </c>
      <c r="D235" s="7" t="s">
        <v>18</v>
      </c>
      <c r="E235" s="7" t="s">
        <v>10</v>
      </c>
      <c r="F235" s="10">
        <v>613407</v>
      </c>
      <c r="G235" s="78"/>
      <c r="H235" s="10">
        <f t="shared" si="8"/>
        <v>613407</v>
      </c>
      <c r="I235" s="10"/>
      <c r="J235" s="10"/>
    </row>
    <row r="236" spans="1:10" ht="12.75">
      <c r="A236" s="75">
        <v>229</v>
      </c>
      <c r="B236" s="6" t="s">
        <v>588</v>
      </c>
      <c r="C236" s="7" t="s">
        <v>589</v>
      </c>
      <c r="D236" s="7" t="s">
        <v>18</v>
      </c>
      <c r="E236" s="7" t="s">
        <v>197</v>
      </c>
      <c r="F236" s="10"/>
      <c r="G236" s="18" t="s">
        <v>590</v>
      </c>
      <c r="H236" s="10">
        <f t="shared" si="8"/>
        <v>0</v>
      </c>
      <c r="I236" s="10"/>
      <c r="J236" s="10">
        <f>81500+8400</f>
        <v>89900</v>
      </c>
    </row>
    <row r="237" spans="1:10" ht="12.75">
      <c r="A237" s="75">
        <v>230</v>
      </c>
      <c r="B237" s="6" t="s">
        <v>591</v>
      </c>
      <c r="C237" s="7" t="s">
        <v>592</v>
      </c>
      <c r="D237" s="7" t="s">
        <v>18</v>
      </c>
      <c r="E237" s="7" t="s">
        <v>10</v>
      </c>
      <c r="F237" s="10">
        <v>84241</v>
      </c>
      <c r="G237" s="78"/>
      <c r="H237" s="10">
        <f t="shared" si="8"/>
        <v>84241</v>
      </c>
      <c r="I237" s="10"/>
      <c r="J237" s="10"/>
    </row>
    <row r="238" spans="1:10" ht="12.75">
      <c r="A238" s="75">
        <v>231</v>
      </c>
      <c r="B238" s="6" t="s">
        <v>593</v>
      </c>
      <c r="C238" s="7" t="s">
        <v>594</v>
      </c>
      <c r="D238" s="7" t="s">
        <v>18</v>
      </c>
      <c r="E238" s="7" t="s">
        <v>10</v>
      </c>
      <c r="F238" s="10">
        <v>131759</v>
      </c>
      <c r="G238" s="78"/>
      <c r="H238" s="10">
        <f t="shared" si="8"/>
        <v>131759</v>
      </c>
      <c r="I238" s="10"/>
      <c r="J238" s="10"/>
    </row>
    <row r="239" spans="1:10" ht="24">
      <c r="A239" s="75">
        <v>232</v>
      </c>
      <c r="B239" s="6" t="s">
        <v>595</v>
      </c>
      <c r="C239" s="7" t="s">
        <v>596</v>
      </c>
      <c r="D239" s="7" t="s">
        <v>18</v>
      </c>
      <c r="E239" s="7" t="s">
        <v>597</v>
      </c>
      <c r="F239" s="10">
        <v>31492</v>
      </c>
      <c r="G239" s="29" t="s">
        <v>598</v>
      </c>
      <c r="H239" s="10">
        <f>F239+131439</f>
        <v>162931</v>
      </c>
      <c r="I239" s="10"/>
      <c r="J239" s="10"/>
    </row>
    <row r="240" spans="1:10" ht="24">
      <c r="A240" s="75">
        <v>233</v>
      </c>
      <c r="B240" s="6" t="s">
        <v>599</v>
      </c>
      <c r="C240" s="7" t="s">
        <v>600</v>
      </c>
      <c r="D240" s="7" t="s">
        <v>18</v>
      </c>
      <c r="E240" s="7" t="s">
        <v>601</v>
      </c>
      <c r="F240" s="10"/>
      <c r="G240" s="29" t="s">
        <v>602</v>
      </c>
      <c r="H240" s="10">
        <f>12501</f>
        <v>12501</v>
      </c>
      <c r="I240" s="10"/>
      <c r="J240" s="10"/>
    </row>
    <row r="241" spans="1:10" ht="12.75">
      <c r="A241" s="75">
        <v>234</v>
      </c>
      <c r="B241" s="6" t="s">
        <v>603</v>
      </c>
      <c r="C241" s="7" t="s">
        <v>604</v>
      </c>
      <c r="D241" s="7" t="s">
        <v>18</v>
      </c>
      <c r="E241" s="7" t="s">
        <v>10</v>
      </c>
      <c r="F241" s="10">
        <v>31492</v>
      </c>
      <c r="G241" s="78"/>
      <c r="H241" s="10">
        <f>F241</f>
        <v>31492</v>
      </c>
      <c r="I241" s="10"/>
      <c r="J241" s="10"/>
    </row>
    <row r="242" spans="1:10" ht="12.75">
      <c r="A242" s="75">
        <v>235</v>
      </c>
      <c r="B242" s="6" t="s">
        <v>605</v>
      </c>
      <c r="C242" s="7" t="s">
        <v>606</v>
      </c>
      <c r="D242" s="7" t="s">
        <v>18</v>
      </c>
      <c r="E242" s="7" t="s">
        <v>10</v>
      </c>
      <c r="F242" s="10">
        <v>3937</v>
      </c>
      <c r="G242" s="78"/>
      <c r="H242" s="10">
        <f>F242</f>
        <v>3937</v>
      </c>
      <c r="I242" s="10"/>
      <c r="J242" s="10"/>
    </row>
    <row r="243" spans="1:10" ht="24">
      <c r="A243" s="75">
        <v>236</v>
      </c>
      <c r="B243" s="6" t="s">
        <v>607</v>
      </c>
      <c r="C243" s="7" t="s">
        <v>608</v>
      </c>
      <c r="D243" s="7" t="s">
        <v>18</v>
      </c>
      <c r="E243" s="7" t="s">
        <v>597</v>
      </c>
      <c r="F243" s="10">
        <v>1377296</v>
      </c>
      <c r="G243" s="29" t="s">
        <v>609</v>
      </c>
      <c r="H243" s="10">
        <f>F243+34407</f>
        <v>1411703</v>
      </c>
      <c r="I243" s="10"/>
      <c r="J243" s="10"/>
    </row>
    <row r="244" spans="1:10" ht="24">
      <c r="A244" s="75">
        <v>237</v>
      </c>
      <c r="B244" s="6" t="s">
        <v>610</v>
      </c>
      <c r="C244" s="7" t="s">
        <v>611</v>
      </c>
      <c r="D244" s="7" t="s">
        <v>18</v>
      </c>
      <c r="E244" s="7" t="s">
        <v>10</v>
      </c>
      <c r="F244" s="10">
        <v>31492</v>
      </c>
      <c r="G244" s="78"/>
      <c r="H244" s="10">
        <f>F244</f>
        <v>31492</v>
      </c>
      <c r="I244" s="10"/>
      <c r="J244" s="10"/>
    </row>
    <row r="245" spans="1:10" ht="24">
      <c r="A245" s="75">
        <v>238</v>
      </c>
      <c r="B245" s="6" t="s">
        <v>612</v>
      </c>
      <c r="C245" s="7" t="s">
        <v>613</v>
      </c>
      <c r="D245" s="7" t="s">
        <v>18</v>
      </c>
      <c r="E245" s="7" t="s">
        <v>10</v>
      </c>
      <c r="F245" s="10">
        <v>182420</v>
      </c>
      <c r="G245" s="78"/>
      <c r="H245" s="10">
        <f>F245</f>
        <v>182420</v>
      </c>
      <c r="I245" s="10"/>
      <c r="J245" s="10"/>
    </row>
    <row r="246" spans="1:10" ht="36">
      <c r="A246" s="75">
        <v>239</v>
      </c>
      <c r="B246" s="6" t="s">
        <v>614</v>
      </c>
      <c r="C246" s="7" t="s">
        <v>615</v>
      </c>
      <c r="D246" s="7" t="s">
        <v>18</v>
      </c>
      <c r="E246" s="7" t="s">
        <v>10</v>
      </c>
      <c r="F246" s="10">
        <v>167771</v>
      </c>
      <c r="G246" s="78"/>
      <c r="H246" s="10">
        <f>F246</f>
        <v>167771</v>
      </c>
      <c r="I246" s="10"/>
      <c r="J246" s="10"/>
    </row>
    <row r="247" spans="1:10" ht="24">
      <c r="A247" s="75">
        <v>240</v>
      </c>
      <c r="B247" s="6" t="s">
        <v>616</v>
      </c>
      <c r="C247" s="7" t="s">
        <v>617</v>
      </c>
      <c r="D247" s="7" t="s">
        <v>18</v>
      </c>
      <c r="E247" s="7" t="s">
        <v>10</v>
      </c>
      <c r="F247" s="10">
        <v>4724</v>
      </c>
      <c r="G247" s="78"/>
      <c r="H247" s="10">
        <f>F247</f>
        <v>4724</v>
      </c>
      <c r="I247" s="10"/>
      <c r="J247" s="10"/>
    </row>
    <row r="248" spans="1:10" ht="24">
      <c r="A248" s="75">
        <v>241</v>
      </c>
      <c r="B248" s="6" t="s">
        <v>618</v>
      </c>
      <c r="C248" s="7" t="s">
        <v>619</v>
      </c>
      <c r="D248" s="7" t="s">
        <v>18</v>
      </c>
      <c r="E248" s="7" t="s">
        <v>149</v>
      </c>
      <c r="F248" s="10">
        <v>43144</v>
      </c>
      <c r="G248" s="29" t="s">
        <v>620</v>
      </c>
      <c r="H248" s="10">
        <f>F248+47485</f>
        <v>90629</v>
      </c>
      <c r="I248" s="10"/>
      <c r="J248" s="10"/>
    </row>
    <row r="249" spans="1:10" ht="12.75">
      <c r="A249" s="75">
        <v>242</v>
      </c>
      <c r="B249" s="6" t="s">
        <v>621</v>
      </c>
      <c r="C249" s="7" t="s">
        <v>622</v>
      </c>
      <c r="D249" s="7" t="s">
        <v>18</v>
      </c>
      <c r="E249" s="7" t="s">
        <v>10</v>
      </c>
      <c r="F249" s="10">
        <v>1193806</v>
      </c>
      <c r="G249" s="78"/>
      <c r="H249" s="10">
        <f aca="true" t="shared" si="10" ref="H249:H266">F249</f>
        <v>1193806</v>
      </c>
      <c r="I249" s="10"/>
      <c r="J249" s="10"/>
    </row>
    <row r="250" spans="1:10" ht="12.75">
      <c r="A250" s="75">
        <v>243</v>
      </c>
      <c r="B250" s="6" t="s">
        <v>623</v>
      </c>
      <c r="C250" s="7" t="s">
        <v>624</v>
      </c>
      <c r="D250" s="7" t="s">
        <v>18</v>
      </c>
      <c r="E250" s="7" t="s">
        <v>10</v>
      </c>
      <c r="F250" s="10">
        <v>890149</v>
      </c>
      <c r="G250" s="78"/>
      <c r="H250" s="10">
        <f t="shared" si="10"/>
        <v>890149</v>
      </c>
      <c r="I250" s="10"/>
      <c r="J250" s="10"/>
    </row>
    <row r="251" spans="1:10" ht="24">
      <c r="A251" s="75">
        <v>244</v>
      </c>
      <c r="B251" s="6" t="s">
        <v>625</v>
      </c>
      <c r="C251" s="7" t="s">
        <v>626</v>
      </c>
      <c r="D251" s="7" t="s">
        <v>18</v>
      </c>
      <c r="E251" s="7" t="s">
        <v>10</v>
      </c>
      <c r="F251" s="10">
        <v>984895</v>
      </c>
      <c r="G251" s="78"/>
      <c r="H251" s="10">
        <f t="shared" si="10"/>
        <v>984895</v>
      </c>
      <c r="I251" s="10"/>
      <c r="J251" s="10"/>
    </row>
    <row r="252" spans="1:10" ht="12.75">
      <c r="A252" s="75">
        <v>245</v>
      </c>
      <c r="B252" s="6" t="s">
        <v>627</v>
      </c>
      <c r="C252" s="7" t="s">
        <v>628</v>
      </c>
      <c r="D252" s="7" t="s">
        <v>18</v>
      </c>
      <c r="E252" s="7" t="s">
        <v>10</v>
      </c>
      <c r="F252" s="10">
        <v>815704</v>
      </c>
      <c r="G252" s="78"/>
      <c r="H252" s="10">
        <f t="shared" si="10"/>
        <v>815704</v>
      </c>
      <c r="I252" s="10"/>
      <c r="J252" s="10"/>
    </row>
    <row r="253" spans="1:10" ht="24">
      <c r="A253" s="75">
        <v>246</v>
      </c>
      <c r="B253" s="6" t="s">
        <v>629</v>
      </c>
      <c r="C253" s="7" t="s">
        <v>630</v>
      </c>
      <c r="D253" s="7" t="s">
        <v>18</v>
      </c>
      <c r="E253" s="7" t="s">
        <v>10</v>
      </c>
      <c r="F253" s="10">
        <v>169726</v>
      </c>
      <c r="G253" s="78"/>
      <c r="H253" s="10">
        <f t="shared" si="10"/>
        <v>169726</v>
      </c>
      <c r="I253" s="10"/>
      <c r="J253" s="10"/>
    </row>
    <row r="254" spans="1:10" ht="24">
      <c r="A254" s="75">
        <v>247</v>
      </c>
      <c r="B254" s="6" t="s">
        <v>631</v>
      </c>
      <c r="C254" s="7" t="s">
        <v>632</v>
      </c>
      <c r="D254" s="7" t="s">
        <v>18</v>
      </c>
      <c r="E254" s="7" t="s">
        <v>10</v>
      </c>
      <c r="F254" s="10">
        <v>124149</v>
      </c>
      <c r="G254" s="78"/>
      <c r="H254" s="10">
        <f t="shared" si="10"/>
        <v>124149</v>
      </c>
      <c r="I254" s="10"/>
      <c r="J254" s="10"/>
    </row>
    <row r="255" spans="1:10" ht="24">
      <c r="A255" s="75">
        <v>248</v>
      </c>
      <c r="B255" s="6" t="s">
        <v>633</v>
      </c>
      <c r="C255" s="7" t="s">
        <v>634</v>
      </c>
      <c r="D255" s="7" t="s">
        <v>18</v>
      </c>
      <c r="E255" s="7" t="s">
        <v>10</v>
      </c>
      <c r="F255" s="10">
        <v>477185</v>
      </c>
      <c r="G255" s="78"/>
      <c r="H255" s="10">
        <f t="shared" si="10"/>
        <v>477185</v>
      </c>
      <c r="I255" s="10"/>
      <c r="J255" s="10"/>
    </row>
    <row r="256" spans="1:10" ht="24">
      <c r="A256" s="75">
        <v>249</v>
      </c>
      <c r="B256" s="6" t="s">
        <v>635</v>
      </c>
      <c r="C256" s="7" t="s">
        <v>636</v>
      </c>
      <c r="D256" s="7" t="s">
        <v>18</v>
      </c>
      <c r="E256" s="7" t="s">
        <v>10</v>
      </c>
      <c r="F256" s="10">
        <v>1355626</v>
      </c>
      <c r="G256" s="78"/>
      <c r="H256" s="10">
        <f t="shared" si="10"/>
        <v>1355626</v>
      </c>
      <c r="I256" s="10"/>
      <c r="J256" s="10"/>
    </row>
    <row r="257" spans="1:10" ht="24">
      <c r="A257" s="75">
        <v>250</v>
      </c>
      <c r="B257" s="6" t="s">
        <v>637</v>
      </c>
      <c r="C257" s="7" t="s">
        <v>638</v>
      </c>
      <c r="D257" s="7" t="s">
        <v>18</v>
      </c>
      <c r="E257" s="7" t="s">
        <v>10</v>
      </c>
      <c r="F257" s="10">
        <v>635196</v>
      </c>
      <c r="G257" s="78"/>
      <c r="H257" s="10">
        <f t="shared" si="10"/>
        <v>635196</v>
      </c>
      <c r="I257" s="10"/>
      <c r="J257" s="10"/>
    </row>
    <row r="258" spans="1:10" ht="36">
      <c r="A258" s="75">
        <v>251</v>
      </c>
      <c r="B258" s="6" t="s">
        <v>639</v>
      </c>
      <c r="C258" s="7" t="s">
        <v>640</v>
      </c>
      <c r="D258" s="7" t="s">
        <v>18</v>
      </c>
      <c r="E258" s="7" t="s">
        <v>10</v>
      </c>
      <c r="F258" s="10">
        <v>886657</v>
      </c>
      <c r="G258" s="78"/>
      <c r="H258" s="10">
        <f t="shared" si="10"/>
        <v>886657</v>
      </c>
      <c r="I258" s="10"/>
      <c r="J258" s="10"/>
    </row>
    <row r="259" spans="1:10" ht="24">
      <c r="A259" s="75">
        <v>252</v>
      </c>
      <c r="B259" s="6" t="s">
        <v>641</v>
      </c>
      <c r="C259" s="7" t="s">
        <v>642</v>
      </c>
      <c r="D259" s="7" t="s">
        <v>18</v>
      </c>
      <c r="E259" s="7" t="s">
        <v>10</v>
      </c>
      <c r="F259" s="10">
        <v>33067</v>
      </c>
      <c r="G259" s="78"/>
      <c r="H259" s="10">
        <f t="shared" si="10"/>
        <v>33067</v>
      </c>
      <c r="I259" s="10"/>
      <c r="J259" s="10"/>
    </row>
    <row r="260" spans="1:10" ht="24">
      <c r="A260" s="75">
        <v>253</v>
      </c>
      <c r="B260" s="6" t="s">
        <v>643</v>
      </c>
      <c r="C260" s="7" t="s">
        <v>644</v>
      </c>
      <c r="D260" s="7" t="s">
        <v>18</v>
      </c>
      <c r="E260" s="7" t="s">
        <v>645</v>
      </c>
      <c r="F260" s="10">
        <v>20930</v>
      </c>
      <c r="G260" s="18" t="s">
        <v>646</v>
      </c>
      <c r="H260" s="10">
        <f t="shared" si="10"/>
        <v>20930</v>
      </c>
      <c r="I260" s="10"/>
      <c r="J260" s="10">
        <f>550000+15000</f>
        <v>565000</v>
      </c>
    </row>
    <row r="261" spans="1:10" ht="24">
      <c r="A261" s="75">
        <v>254</v>
      </c>
      <c r="B261" s="6" t="s">
        <v>647</v>
      </c>
      <c r="C261" s="7" t="s">
        <v>648</v>
      </c>
      <c r="D261" s="7" t="s">
        <v>18</v>
      </c>
      <c r="E261" s="7" t="s">
        <v>10</v>
      </c>
      <c r="F261" s="10">
        <v>257721</v>
      </c>
      <c r="G261" s="78"/>
      <c r="H261" s="10">
        <f t="shared" si="10"/>
        <v>257721</v>
      </c>
      <c r="I261" s="10"/>
      <c r="J261" s="10"/>
    </row>
    <row r="262" spans="1:10" ht="12.75">
      <c r="A262" s="75">
        <v>255</v>
      </c>
      <c r="B262" s="6" t="s">
        <v>649</v>
      </c>
      <c r="C262" s="7" t="s">
        <v>650</v>
      </c>
      <c r="D262" s="7" t="s">
        <v>18</v>
      </c>
      <c r="E262" s="7" t="s">
        <v>10</v>
      </c>
      <c r="F262" s="10">
        <v>491450</v>
      </c>
      <c r="G262" s="78"/>
      <c r="H262" s="10">
        <f t="shared" si="10"/>
        <v>491450</v>
      </c>
      <c r="I262" s="10"/>
      <c r="J262" s="10"/>
    </row>
    <row r="263" spans="1:10" ht="24">
      <c r="A263" s="75">
        <v>256</v>
      </c>
      <c r="B263" s="6" t="s">
        <v>651</v>
      </c>
      <c r="C263" s="7" t="s">
        <v>652</v>
      </c>
      <c r="D263" s="7" t="s">
        <v>18</v>
      </c>
      <c r="E263" s="7" t="s">
        <v>10</v>
      </c>
      <c r="F263" s="10">
        <v>385998</v>
      </c>
      <c r="G263" s="78"/>
      <c r="H263" s="10">
        <f t="shared" si="10"/>
        <v>385998</v>
      </c>
      <c r="I263" s="10"/>
      <c r="J263" s="10"/>
    </row>
    <row r="264" spans="1:10" ht="12.75">
      <c r="A264" s="75">
        <v>257</v>
      </c>
      <c r="B264" s="6" t="s">
        <v>653</v>
      </c>
      <c r="C264" s="7" t="s">
        <v>654</v>
      </c>
      <c r="D264" s="7" t="s">
        <v>18</v>
      </c>
      <c r="E264" s="7" t="s">
        <v>10</v>
      </c>
      <c r="F264" s="10">
        <v>1231777</v>
      </c>
      <c r="G264" s="78"/>
      <c r="H264" s="10">
        <f t="shared" si="10"/>
        <v>1231777</v>
      </c>
      <c r="I264" s="10"/>
      <c r="J264" s="10"/>
    </row>
    <row r="265" spans="1:10" ht="24">
      <c r="A265" s="75">
        <v>258</v>
      </c>
      <c r="B265" s="6" t="s">
        <v>655</v>
      </c>
      <c r="C265" s="7" t="s">
        <v>656</v>
      </c>
      <c r="D265" s="7" t="s">
        <v>18</v>
      </c>
      <c r="E265" s="7" t="s">
        <v>10</v>
      </c>
      <c r="F265" s="10">
        <v>176550</v>
      </c>
      <c r="G265" s="78"/>
      <c r="H265" s="10">
        <f t="shared" si="10"/>
        <v>176550</v>
      </c>
      <c r="I265" s="10"/>
      <c r="J265" s="10"/>
    </row>
    <row r="266" spans="1:10" ht="24">
      <c r="A266" s="75">
        <v>259</v>
      </c>
      <c r="B266" s="6" t="s">
        <v>657</v>
      </c>
      <c r="C266" s="7" t="s">
        <v>658</v>
      </c>
      <c r="D266" s="7" t="s">
        <v>18</v>
      </c>
      <c r="E266" s="7" t="s">
        <v>10</v>
      </c>
      <c r="F266" s="10">
        <v>115632</v>
      </c>
      <c r="G266" s="78"/>
      <c r="H266" s="10">
        <f t="shared" si="10"/>
        <v>115632</v>
      </c>
      <c r="I266" s="10"/>
      <c r="J266" s="10"/>
    </row>
    <row r="267" spans="2:10" ht="12.75">
      <c r="B267" s="1"/>
      <c r="C267" s="1"/>
      <c r="D267" s="1"/>
      <c r="E267" s="1"/>
      <c r="F267" s="53">
        <f>SUM(F8:F266)</f>
        <v>209238194</v>
      </c>
      <c r="G267" s="53">
        <f>H267-F267+I267+J267</f>
        <v>41319327</v>
      </c>
      <c r="H267" s="54">
        <f>SUM(H8:H266)</f>
        <v>246325459</v>
      </c>
      <c r="I267" s="54">
        <f>SUM(I8:I266)</f>
        <v>1461218</v>
      </c>
      <c r="J267" s="54">
        <f>SUM(J8:J266)</f>
        <v>2770844</v>
      </c>
    </row>
    <row r="268" spans="2:10" ht="12.75">
      <c r="B268" s="1"/>
      <c r="C268" s="1"/>
      <c r="D268" s="1"/>
      <c r="E268" s="1"/>
      <c r="F268" s="55" t="s">
        <v>659</v>
      </c>
      <c r="G268" s="56">
        <f>G267+F267</f>
        <v>250557521</v>
      </c>
      <c r="H268" s="1"/>
      <c r="I268" s="1"/>
      <c r="J268" s="1"/>
    </row>
    <row r="269" spans="2:10" ht="12.75">
      <c r="B269" s="57" t="s">
        <v>660</v>
      </c>
      <c r="C269" s="58"/>
      <c r="D269" s="58"/>
      <c r="E269" s="58"/>
      <c r="F269" s="59">
        <f>F79+F96+F211</f>
        <v>617582</v>
      </c>
      <c r="G269" s="59"/>
      <c r="H269" s="59">
        <f>H79+H96+H211</f>
        <v>617582</v>
      </c>
      <c r="I269" s="60"/>
      <c r="J269" s="60"/>
    </row>
    <row r="270" spans="2:10" ht="12.75">
      <c r="B270" s="61" t="s">
        <v>661</v>
      </c>
      <c r="C270" s="62"/>
      <c r="D270" s="62"/>
      <c r="E270" s="62"/>
      <c r="F270" s="63">
        <f>F20+F34+F49+F64+F67+F70+F71+F88+F105+F113+F132+F148+F178</f>
        <v>18556141</v>
      </c>
      <c r="G270" s="63"/>
      <c r="H270" s="63">
        <f>H20+H34+H49+H64+H67+H70+H71+H88+H105+H113+H132+H148+H178</f>
        <v>18716141</v>
      </c>
      <c r="I270" s="64"/>
      <c r="J270" s="64"/>
    </row>
    <row r="271" spans="4:9" ht="12.75">
      <c r="D271" s="1"/>
      <c r="E271" s="1"/>
      <c r="F271" s="65"/>
      <c r="G271" s="65"/>
      <c r="H271" s="65"/>
      <c r="I271" s="1"/>
    </row>
    <row r="272" spans="4:9" ht="12.75">
      <c r="D272" s="1"/>
      <c r="E272" s="1"/>
      <c r="F272" s="1"/>
      <c r="G272" s="1"/>
      <c r="I272" s="66"/>
    </row>
    <row r="273" spans="4:9" ht="12.75">
      <c r="D273" s="83" t="s">
        <v>662</v>
      </c>
      <c r="E273" s="83"/>
      <c r="F273" s="83"/>
      <c r="G273" s="83"/>
      <c r="H273" s="66"/>
      <c r="I273" s="67"/>
    </row>
    <row r="274" spans="4:9" ht="15" customHeight="1">
      <c r="D274" s="83" t="s">
        <v>12</v>
      </c>
      <c r="E274" s="84" t="s">
        <v>13</v>
      </c>
      <c r="F274" s="84"/>
      <c r="G274" s="85" t="s">
        <v>663</v>
      </c>
      <c r="I274" s="66"/>
    </row>
    <row r="275" spans="4:9" ht="36">
      <c r="D275" s="83"/>
      <c r="E275" s="6" t="s">
        <v>14</v>
      </c>
      <c r="F275" s="6" t="s">
        <v>15</v>
      </c>
      <c r="G275" s="85"/>
      <c r="I275" s="66"/>
    </row>
    <row r="276" spans="4:7" ht="12.75">
      <c r="D276" s="68">
        <f>H267/1000000</f>
        <v>246.325459</v>
      </c>
      <c r="E276" s="68">
        <f>I267/1000000</f>
        <v>1.461218</v>
      </c>
      <c r="F276" s="68">
        <f>J267/1000000</f>
        <v>2.770844</v>
      </c>
      <c r="G276" s="68">
        <f>F267/1000000</f>
        <v>209.238194</v>
      </c>
    </row>
    <row r="278" ht="12.75">
      <c r="H278" s="66"/>
    </row>
  </sheetData>
  <sheetProtection selectLockedCells="1" selectUnlockedCells="1"/>
  <autoFilter ref="A7:J271"/>
  <mergeCells count="19">
    <mergeCell ref="H5:H6"/>
    <mergeCell ref="I5:J5"/>
    <mergeCell ref="K179:L180"/>
    <mergeCell ref="D273:G273"/>
    <mergeCell ref="A2:J2"/>
    <mergeCell ref="A3:G3"/>
    <mergeCell ref="H3:J3"/>
    <mergeCell ref="A4:A6"/>
    <mergeCell ref="B4:B6"/>
    <mergeCell ref="C4:C6"/>
    <mergeCell ref="D4:D6"/>
    <mergeCell ref="E4:E6"/>
    <mergeCell ref="F4:G4"/>
    <mergeCell ref="H4:J4"/>
    <mergeCell ref="D274:D275"/>
    <mergeCell ref="E274:F274"/>
    <mergeCell ref="G274:G275"/>
    <mergeCell ref="F5:F6"/>
    <mergeCell ref="G5:G6"/>
  </mergeCells>
  <printOptions/>
  <pageMargins left="0.9055555555555556" right="0.31527777777777777" top="0.7479166666666667" bottom="0.7479166666666667" header="0.5118055555555555" footer="0.5118055555555555"/>
  <pageSetup fitToHeight="0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Planowane koszty bezpośrednie badań statystycznych ujętych w "Programie badań statystycznych statystyki publicznej na rok 2020</dc:title>
  <dc:subject/>
  <dc:creator>Główny Urząd Statystyczny</dc:creator>
  <cp:keywords>badania; koszty badań statystycznych</cp:keywords>
  <dc:description/>
  <cp:lastModifiedBy>brzeznab</cp:lastModifiedBy>
  <dcterms:created xsi:type="dcterms:W3CDTF">2019-06-12T07:59:12Z</dcterms:created>
  <dcterms:modified xsi:type="dcterms:W3CDTF">2020-07-09T07:33:03Z</dcterms:modified>
  <cp:category/>
  <cp:version/>
  <cp:contentType/>
  <cp:contentStatus/>
</cp:coreProperties>
</file>